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FGckmmuPXe3nni0cWfYnpKKf/e2agNbB3X8AdeFeWssxaMHostkeE6RN9If+/Yfy401RaxuL8JW1BS5n/Yd85g==" workbookSaltValue="7ux4eodr4LCZ6jOisrfQU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W17" i="20"/>
  <c r="BW16" i="20"/>
  <c r="BW15" i="20"/>
  <c r="BV10" i="16"/>
  <c r="S11" i="17"/>
  <c r="T13" i="16"/>
  <c r="AZ11" i="11"/>
  <c r="S15" i="16"/>
  <c r="BF12" i="11"/>
  <c r="BL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C12" i="14"/>
  <c r="K12" i="14" s="1"/>
  <c r="AB13" i="21"/>
  <c r="BG10" i="8"/>
  <c r="T9" i="11"/>
  <c r="V9" i="16"/>
  <c r="L9" i="2"/>
  <c r="U9" i="17"/>
  <c r="U19" i="17" s="1"/>
  <c r="X10" i="21"/>
  <c r="L16" i="2"/>
  <c r="L15" i="2"/>
  <c r="L10" i="2"/>
  <c r="BL16" i="11"/>
  <c r="BJ16" i="11"/>
  <c r="AQ12" i="21"/>
  <c r="BH16" i="11"/>
  <c r="BF15" i="11"/>
  <c r="BM17" i="11"/>
  <c r="Q15" i="17"/>
  <c r="BJ10" i="11"/>
  <c r="BL15" i="11"/>
  <c r="P15" i="17"/>
  <c r="X17" i="17"/>
  <c r="AZ16" i="11"/>
  <c r="BU12" i="17"/>
  <c r="BU17" i="17"/>
  <c r="BU9" i="17"/>
  <c r="BV15" i="16"/>
  <c r="BV16" i="16"/>
  <c r="BU11" i="17"/>
  <c r="BK17" i="11"/>
  <c r="BJ12" i="11"/>
  <c r="BM12" i="11"/>
  <c r="BF10" i="11"/>
  <c r="BM16" i="11"/>
  <c r="BH11" i="16"/>
  <c r="AL16" i="11"/>
  <c r="C16" i="6"/>
  <c r="BE9" i="13"/>
  <c r="BH10" i="16"/>
  <c r="S10" i="17"/>
  <c r="AQ10" i="21"/>
  <c r="BI9" i="11"/>
  <c r="BH10" i="11"/>
  <c r="Q17" i="17"/>
  <c r="BG12" i="11"/>
  <c r="T16" i="11"/>
  <c r="AZ12" i="11"/>
  <c r="AA17" i="16"/>
  <c r="BV9" i="16"/>
  <c r="BU16" i="17"/>
  <c r="V12" i="16"/>
  <c r="BW10" i="20"/>
  <c r="U10" i="17"/>
  <c r="BW11" i="20"/>
  <c r="BV11" i="16"/>
  <c r="BW12" i="20"/>
  <c r="BV12" i="16"/>
  <c r="BU10" i="17"/>
  <c r="BV17" i="16"/>
  <c r="AZ15" i="11"/>
  <c r="AZ18" i="11" s="1"/>
  <c r="AZ9" i="11"/>
  <c r="AZ13" i="11" s="1"/>
  <c r="R17" i="20"/>
  <c r="R18" i="20" s="1"/>
  <c r="AP15" i="20"/>
  <c r="BJ15" i="11"/>
  <c r="BH9" i="11"/>
  <c r="AP10" i="21"/>
  <c r="BK11" i="11"/>
  <c r="X11" i="17"/>
  <c r="BK9" i="11"/>
  <c r="BK12" i="11"/>
  <c r="P17" i="17"/>
  <c r="BG10" i="11"/>
  <c r="BL9" i="11"/>
  <c r="BF11"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U12" i="11"/>
  <c r="AL20" i="20"/>
  <c r="AF20" i="20"/>
  <c r="O10" i="11"/>
  <c r="AP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K20" i="20"/>
  <c r="AI20" i="20"/>
  <c r="E20" i="20"/>
  <c r="S20" i="20"/>
  <c r="F20" i="20"/>
  <c r="O20" i="20"/>
  <c r="AQ20" i="20"/>
  <c r="W20" i="20"/>
  <c r="AG20" i="20"/>
  <c r="AC20" i="20"/>
  <c r="K20" i="20"/>
  <c r="AH20" i="20"/>
  <c r="O16" i="11"/>
  <c r="Q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I19" i="11"/>
  <c r="P12" i="11"/>
  <c r="AO13" i="17"/>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W20" i="16"/>
  <c r="AA20" i="17"/>
  <c r="AV20" i="16"/>
  <c r="AN20" i="11"/>
  <c r="AH20" i="17"/>
  <c r="F20" i="11"/>
  <c r="AH20" i="21"/>
  <c r="Z20" i="16"/>
  <c r="AI20" i="21"/>
  <c r="BS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7"/>
  <c r="AT20" i="20"/>
  <c r="AY20" i="11"/>
  <c r="W20" i="17"/>
  <c r="AM20" i="21"/>
  <c r="AC20" i="16"/>
  <c r="Q20" i="21"/>
  <c r="AA20" i="21"/>
  <c r="AK20" i="21"/>
  <c r="AJ20" i="11"/>
  <c r="Y20" i="21"/>
  <c r="Y20" i="11"/>
  <c r="Y20" i="16"/>
  <c r="AO20" i="21"/>
  <c r="X20" i="11"/>
  <c r="N20" i="21"/>
  <c r="AE20" i="11"/>
  <c r="R20" i="11"/>
  <c r="AM20" i="16"/>
  <c r="AP20" i="16"/>
  <c r="AE20" i="16"/>
  <c r="Q20" i="11"/>
  <c r="AG20" i="17"/>
  <c r="P20" i="16"/>
  <c r="BB20" i="16"/>
  <c r="AS20" i="16"/>
  <c r="AM20" i="17"/>
  <c r="U20" i="20"/>
  <c r="Y20" i="17"/>
  <c r="AM20" i="11"/>
  <c r="I20" i="17"/>
  <c r="AA20" i="16"/>
  <c r="AN20" i="17"/>
  <c r="H20" i="12"/>
  <c r="AL20" i="21"/>
  <c r="AA20" i="11"/>
  <c r="K20" i="12"/>
  <c r="AR20" i="17"/>
  <c r="AR20" i="16"/>
  <c r="N20" i="16"/>
  <c r="T20" i="17"/>
  <c r="AB20" i="17"/>
  <c r="K20" i="21"/>
  <c r="AU20" i="11"/>
  <c r="L20" i="21"/>
  <c r="F20" i="17"/>
  <c r="AI20" i="16"/>
  <c r="M20" i="16"/>
  <c r="N20" i="17"/>
  <c r="BQ20" i="16"/>
  <c r="E20" i="12"/>
  <c r="AW20" i="16"/>
  <c r="BO20" i="16"/>
  <c r="AF20" i="16"/>
  <c r="O20" i="16"/>
  <c r="AH20" i="11"/>
  <c r="BH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<sst xmlns="http://schemas.openxmlformats.org/spreadsheetml/2006/main" count="2102" uniqueCount="918">
  <si>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</si>
  <si>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</si>
  <si>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</si>
  <si>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</si>
  <si>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</si>
  <si>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</si>
  <si>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</si>
  <si>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</si>
  <si>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</si>
  <si>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</si>
  <si>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</si>
  <si>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</si>
  <si>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</si>
  <si>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</si>
  <si>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</si>
  <si>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</si>
  <si>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</si>
  <si>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</si>
  <si>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</si>
  <si>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</si>
  <si>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</si>
  <si>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</si>
  <si>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</si>
  <si>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</si>
  <si>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</si>
  <si>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</si>
  <si>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</si>
  <si>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</si>
  <si>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</si>
  <si>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</si>
  <si>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</si>
  <si>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</si>
  <si>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</si>
  <si>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</si>
  <si>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</si>
  <si>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</si>
  <si>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</si>
  <si>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</si>
  <si>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</si>
  <si>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</si>
  <si>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</si>
  <si>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</si>
  <si>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</si>
  <si>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</si>
  <si>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</si>
  <si>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</si>
  <si>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</si>
  <si>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</si>
  <si>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</si>
  <si>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</si>
  <si>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</si>
  <si>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</si>
  <si>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</si>
  <si>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</si>
  <si>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</si>
  <si>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</si>
  <si>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</si>
  <si>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</si>
  <si>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</si>
  <si>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</si>
  <si>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</si>
  <si>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</si>
  <si>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</si>
  <si>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</si>
  <si>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</si>
  <si>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</si>
  <si>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</si>
  <si>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</si>
  <si>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</si>
  <si>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</si>
  <si>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</si>
  <si>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</si>
  <si>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</si>
  <si>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</si>
  <si>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</si>
  <si>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</si>
  <si>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</si>
  <si>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</si>
  <si>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</si>
  <si>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</si>
  <si>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</si>
  <si>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</si>
  <si>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</si>
  <si>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</si>
  <si>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</si>
  <si>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</si>
  <si>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</si>
  <si>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</si>
  <si>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</si>
  <si>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</si>
  <si>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</si>
  <si>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</si>
  <si>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</si>
  <si>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</si>
  <si>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</si>
  <si>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</si>
  <si>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</si>
  <si>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</si>
  <si>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</si>
  <si>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</si>
  <si>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</si>
  <si>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</si>
  <si>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</si>
  <si>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</si>
  <si>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</si>
  <si>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</si>
  <si>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</si>
  <si>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</si>
  <si>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</si>
  <si>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</si>
  <si>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</si>
  <si>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</si>
  <si>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</si>
  <si>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</si>
  <si>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</si>
  <si>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</si>
  <si>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</si>
  <si>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</si>
  <si>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</si>
  <si>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</si>
  <si>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</si>
  <si>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</si>
  <si>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</si>
  <si>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</si>
  <si>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</si>
  <si>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</si>
  <si>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</si>
  <si>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</si>
  <si>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</si>
  <si>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</si>
  <si>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</si>
  <si>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</si>
  <si>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</si>
  <si>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</si>
  <si>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</si>
  <si>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</si>
  <si>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</si>
  <si>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</si>
  <si>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</si>
  <si>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</si>
  <si>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</si>
  <si>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</si>
  <si>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</si>
  <si>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</si>
  <si>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</si>
  <si>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</si>
  <si>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</si>
  <si>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</si>
  <si>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</si>
  <si>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</si>
  <si>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</si>
  <si>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</si>
  <si>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</si>
  <si>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</si>
  <si>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</si>
  <si>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</si>
  <si>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</si>
  <si>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</si>
  <si>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</si>
  <si>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</si>
  <si>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</si>
  <si>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</si>
  <si>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</si>
  <si>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</si>
  <si>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</si>
  <si>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</si>
  <si>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</si>
  <si>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</si>
  <si>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</si>
  <si>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</si>
  <si>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</si>
  <si>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</si>
  <si>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</si>
  <si>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</si>
  <si>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</si>
  <si>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</si>
  <si>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</si>
  <si>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</si>
  <si>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</si>
  <si>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</si>
  <si>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</si>
  <si>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</si>
  <si>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</si>
  <si>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</si>
  <si>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</si>
  <si>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</si>
  <si>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</si>
  <si>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</si>
  <si>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</si>
  <si>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</si>
  <si>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</si>
  <si>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</si>
  <si>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</si>
  <si>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</si>
  <si>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</si>
  <si>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</si>
  <si>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</si>
  <si>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</si>
  <si>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</si>
  <si>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</si>
  <si>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</si>
  <si>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</si>
  <si>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</si>
  <si>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</si>
  <si>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</si>
  <si>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</si>
  <si>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</si>
  <si>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</si>
  <si>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</si>
  <si>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</si>
  <si>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</si>
  <si>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</si>
  <si>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</si>
  <si>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</si>
  <si>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</si>
  <si>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</si>
  <si>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</si>
  <si>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</si>
  <si>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</si>
  <si>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</si>
  <si>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</si>
  <si>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</si>
  <si>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</si>
  <si>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</si>
  <si>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</si>
  <si>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</si>
  <si>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</si>
  <si>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</si>
  <si>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</si>
  <si>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</si>
  <si>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</si>
  <si>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</si>
  <si>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</si>
  <si>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</si>
  <si>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</si>
  <si>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</si>
  <si>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</si>
  <si>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</si>
  <si>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</si>
  <si>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</si>
  <si>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</si>
  <si>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</si>
  <si>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</si>
  <si>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</si>
  <si>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</si>
  <si>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</si>
  <si>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</si>
  <si>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</si>
  <si>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</si>
  <si>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</si>
  <si>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</si>
  <si>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</si>
  <si>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</si>
  <si>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</si>
  <si>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</si>
  <si>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</si>
  <si>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</si>
  <si>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</si>
  <si>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</si>
  <si>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</si>
  <si>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</si>
  <si>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</si>
  <si>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</si>
  <si>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</si>
  <si>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</si>
  <si>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</si>
  <si>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</si>
  <si>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</si>
  <si>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</si>
  <si>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</si>
  <si>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</si>
  <si>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</si>
  <si>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</si>
  <si>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</si>
  <si>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</si>
  <si>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</si>
  <si>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</si>
  <si>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</si>
  <si>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</si>
  <si>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</si>
  <si>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</si>
  <si>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</si>
  <si>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</si>
  <si>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</si>
  <si>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</si>
  <si>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</si>
  <si>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</si>
  <si>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</si>
  <si>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</si>
  <si>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</si>
  <si>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</si>
  <si>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</si>
  <si>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</si>
  <si>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</si>
  <si>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</si>
  <si>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</si>
  <si>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</si>
  <si>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</si>
  <si>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</si>
  <si>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</si>
  <si>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</si>
  <si>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</si>
  <si>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</si>
  <si>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</si>
  <si>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</si>
  <si>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</si>
  <si>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</si>
  <si>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</si>
  <si>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</si>
  <si>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</si>
  <si>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</si>
  <si>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</si>
  <si>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</si>
  <si>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</si>
  <si>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</si>
  <si>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</si>
  <si>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</si>
  <si>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</si>
  <si>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</si>
  <si>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</si>
  <si>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</si>
  <si>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</si>
  <si>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</si>
  <si>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</si>
  <si>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</si>
  <si>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</si>
  <si>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</si>
  <si>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</si>
  <si>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</si>
  <si>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</si>
  <si>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</si>
  <si>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</si>
  <si>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</si>
  <si>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</si>
  <si>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</si>
  <si>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</si>
  <si>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</si>
  <si>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</si>
  <si>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</si>
  <si>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</si>
  <si>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</si>
  <si>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</si>
  <si>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</si>
  <si>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</si>
  <si>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</si>
  <si>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</si>
  <si>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</si>
  <si>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</si>
  <si>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</si>
  <si>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</si>
  <si>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</si>
  <si>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</si>
  <si>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</si>
  <si>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</si>
  <si>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</si>
  <si>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</si>
  <si>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</si>
  <si>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</si>
  <si>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</si>
  <si>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</si>
  <si>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</si>
  <si>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</si>
  <si>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</si>
  <si>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</si>
  <si>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</si>
  <si>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</si>
  <si>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</si>
  <si>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</si>
  <si>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</si>
  <si>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</si>
  <si>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</si>
  <si>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</si>
  <si>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</si>
  <si>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</si>
  <si>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</si>
  <si>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</si>
  <si>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</si>
  <si>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</si>
  <si>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</si>
  <si>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</si>
  <si>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</si>
  <si>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</si>
  <si>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</si>
  <si>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</si>
  <si>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</si>
  <si>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</si>
  <si>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</si>
  <si>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</si>
  <si>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</si>
  <si>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</si>
  <si>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</si>
  <si>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</si>
  <si>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</si>
  <si>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</si>
  <si>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</si>
  <si>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</si>
  <si>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</si>
  <si>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</si>
  <si>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</si>
  <si>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</si>
  <si>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</si>
  <si>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</si>
  <si>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</si>
  <si>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</si>
  <si>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</si>
  <si>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</si>
  <si>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</si>
  <si>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</si>
  <si>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</si>
  <si>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</si>
  <si>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</si>
  <si>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</si>
  <si>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</si>
  <si>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</si>
  <si>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</si>
  <si>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</si>
  <si>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</si>
  <si>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</si>
  <si>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</si>
  <si>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</si>
  <si>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</si>
  <si>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</si>
  <si>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</si>
  <si>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</si>
  <si>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</si>
  <si>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</si>
  <si>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</si>
  <si>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</si>
  <si>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</si>
  <si>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</si>
  <si>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</si>
  <si>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</si>
  <si>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</si>
  <si>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</si>
  <si>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</si>
  <si>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</si>
  <si>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</si>
  <si>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</si>
  <si>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</si>
  <si>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</si>
  <si>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</si>
  <si>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</si>
  <si>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</si>
  <si>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</si>
  <si>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</si>
  <si>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</si>
  <si>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</si>
  <si>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</si>
  <si>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</si>
  <si>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</si>
  <si>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</si>
  <si>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</si>
  <si>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</si>
  <si>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</si>
  <si>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</si>
  <si>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</si>
  <si>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</si>
  <si>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</si>
  <si>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</si>
  <si>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</si>
  <si>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</si>
  <si>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</si>
  <si>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</si>
  <si>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</si>
  <si>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</si>
  <si>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</si>
  <si>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</si>
  <si>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</si>
  <si>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</si>
  <si>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</si>
  <si>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</si>
  <si>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</si>
  <si>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</si>
  <si>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</si>
  <si>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</si>
  <si>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</si>
  <si>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</si>
  <si>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</si>
  <si>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</si>
  <si>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</si>
  <si>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</si>
  <si>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</si>
  <si>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</si>
  <si>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</si>
  <si>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</si>
  <si>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</si>
  <si>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</si>
  <si>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</si>
  <si>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</si>
  <si>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</si>
  <si>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</si>
  <si>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</si>
  <si>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</si>
  <si>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</si>
  <si>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</si>
  <si>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</si>
  <si>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</si>
  <si>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</si>
  <si>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</si>
  <si>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</si>
  <si>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</si>
  <si>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</si>
  <si>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</si>
  <si>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</si>
  <si>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</si>
  <si>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</si>
  <si>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</si>
  <si>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</si>
  <si>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</si>
  <si>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</si>
  <si>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</si>
  <si>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</si>
  <si>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</si>
  <si>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</si>
  <si>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</si>
  <si>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</si>
  <si>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</si>
  <si>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</si>
  <si>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</si>
  <si>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</si>
  <si>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</si>
  <si>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</si>
  <si>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</si>
  <si>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</si>
  <si>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</si>
  <si>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</si>
  <si>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</si>
  <si>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</si>
  <si>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</si>
  <si>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</si>
  <si>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</si>
  <si>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</si>
  <si>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</si>
  <si>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</si>
  <si>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</si>
  <si>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</si>
  <si>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</si>
  <si>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</si>
  <si>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</si>
  <si>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</si>
  <si>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</si>
  <si>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</si>
  <si>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</si>
  <si>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</si>
  <si>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</si>
  <si>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</si>
  <si>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</si>
  <si>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</si>
  <si>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</si>
  <si>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</si>
  <si>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</si>
  <si>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</si>
  <si>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</si>
  <si>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</si>
  <si>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</si>
  <si>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</si>
  <si>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</si>
  <si>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</si>
  <si>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</si>
  <si>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</si>
  <si>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</si>
  <si>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</si>
  <si>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</si>
  <si>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</si>
  <si>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</si>
  <si>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</si>
  <si>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</si>
  <si>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</si>
  <si>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</si>
  <si>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</si>
  <si>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</si>
  <si>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</si>
  <si>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</si>
  <si>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</si>
  <si>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</si>
  <si>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</si>
  <si>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</si>
  <si>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</si>
  <si>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</si>
  <si>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</si>
  <si>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</si>
  <si>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</si>
  <si>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</si>
  <si>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</si>
  <si>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</si>
  <si>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</si>
  <si>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</si>
  <si>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</si>
  <si>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</si>
  <si>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</si>
  <si>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</si>
  <si>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</si>
  <si>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</si>
  <si>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</si>
  <si>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</si>
  <si>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</si>
  <si>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</si>
  <si>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</si>
  <si>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</si>
  <si>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</si>
  <si>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</si>
  <si>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</si>
  <si>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</si>
  <si>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</si>
  <si>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</si>
  <si>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</si>
  <si>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</si>
  <si>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</si>
  <si>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</si>
  <si>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</si>
  <si>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</si>
  <si>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</si>
  <si>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</si>
  <si>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</si>
  <si>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</si>
  <si>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</si>
  <si>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</si>
  <si>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</si>
  <si>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</si>
  <si>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</si>
  <si>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</si>
  <si>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</si>
  <si>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</si>
  <si>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</si>
  <si>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</si>
  <si>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</si>
  <si>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</si>
  <si>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</si>
  <si>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</si>
  <si>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</si>
  <si>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</si>
  <si>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</si>
  <si>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</si>
  <si>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</si>
  <si>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</si>
  <si>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</si>
  <si>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</si>
  <si>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</si>
  <si>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</si>
  <si>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</si>
  <si>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</si>
  <si>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</si>
  <si>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</si>
  <si>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</si>
  <si>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</si>
  <si>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</si>
  <si>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</si>
  <si>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</si>
  <si>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</si>
  <si>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</si>
  <si>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</si>
  <si>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</si>
  <si>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</si>
  <si>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</si>
  <si>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</si>
  <si>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</si>
  <si>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</si>
  <si>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</si>
  <si>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</si>
  <si>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</si>
  <si>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</si>
  <si>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</si>
  <si>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</si>
  <si>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</si>
  <si>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</si>
  <si>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</si>
  <si>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</si>
  <si>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</si>
  <si>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</si>
  <si>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</si>
  <si>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</si>
  <si>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</si>
  <si>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</si>
  <si>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</si>
  <si>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</si>
  <si>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</si>
  <si>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</si>
  <si>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</si>
  <si>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</si>
  <si>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</si>
  <si>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</si>
  <si>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</si>
  <si>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</si>
  <si>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</si>
  <si>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</si>
  <si>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</si>
  <si>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</si>
  <si>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</si>
  <si>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</si>
  <si>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</si>
  <si>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</si>
  <si>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</si>
  <si>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</si>
  <si>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</si>
  <si>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</si>
  <si>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</si>
  <si>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</si>
  <si>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</si>
  <si>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</si>
  <si>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</si>
  <si>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</si>
  <si>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</si>
  <si>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</si>
  <si>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</si>
  <si>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</si>
  <si>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</si>
  <si>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</si>
  <si>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</si>
  <si>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</si>
  <si>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</si>
  <si>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</si>
  <si>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</si>
  <si>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</si>
  <si>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</si>
  <si>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</si>
  <si>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</si>
  <si>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</si>
  <si>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</si>
  <si>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</si>
  <si>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</si>
  <si>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</si>
  <si>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</si>
  <si>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</si>
  <si>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</si>
  <si>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</si>
  <si>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</si>
  <si>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</si>
  <si>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</si>
  <si>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</si>
  <si>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</si>
  <si>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</si>
  <si>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</si>
  <si>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</si>
  <si>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</si>
  <si>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</si>
  <si>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</si>
  <si>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</si>
  <si>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</si>
  <si>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</si>
  <si>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</si>
  <si>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</si>
  <si>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</si>
  <si>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</si>
  <si>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</si>
  <si>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</si>
  <si>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</si>
  <si>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</si>
  <si>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</si>
  <si>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</si>
  <si>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</si>
  <si>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</si>
  <si>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</si>
  <si>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</si>
  <si>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</si>
  <si>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</si>
  <si>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</si>
  <si>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</si>
  <si>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</si>
  <si>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</si>
  <si>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</si>
  <si>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</si>
  <si>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</si>
  <si>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</si>
  <si>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</si>
  <si>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</si>
  <si>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</si>
  <si>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</si>
  <si>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</si>
  <si>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</si>
  <si>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</si>
  <si>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</si>
  <si>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</si>
  <si>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</si>
  <si>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</si>
  <si>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</si>
  <si>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</si>
  <si>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</si>
  <si>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</si>
  <si>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</si>
  <si>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</si>
  <si>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</si>
  <si>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</si>
  <si>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</si>
  <si>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</si>
  <si>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</si>
  <si>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</si>
  <si>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</si>
  <si>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</si>
  <si>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</si>
  <si>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</si>
  <si>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</si>
  <si>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</si>
  <si>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</si>
  <si>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</si>
  <si>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</si>
  <si>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</si>
  <si>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</si>
  <si>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</si>
  <si>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</si>
  <si>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</si>
  <si>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</si>
  <si>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</si>
  <si>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</si>
  <si>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</si>
  <si>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</si>
  <si>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</si>
  <si>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</si>
  <si>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</si>
  <si>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</si>
  <si>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</si>
  <si>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</si>
  <si>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</si>
  <si>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</si>
  <si>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</si>
  <si>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</si>
  <si>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</si>
  <si>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</si>
  <si>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</si>
  <si>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</si>
  <si>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</si>
  <si>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</si>
  <si>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</si>
  <si>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</si>
  <si>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</si>
  <si>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</si>
  <si>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</si>
  <si>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</si>
  <si>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</si>
  <si>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</si>
  <si>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</si>
  <si>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</si>
  <si>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</si>
  <si>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</si>
  <si>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</si>
  <si>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</si>
  <si>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</si>
  <si>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</si>
  <si>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</si>
  <si>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</si>
  <si>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</si>
  <si>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</si>
  <si>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</si>
  <si>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</si>
  <si>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</si>
  <si>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</si>
  <si>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</si>
  <si>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</si>
  <si>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</si>
  <si>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</si>
  <si>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</si>
  <si>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</si>
  <si>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</si>
  <si>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</si>
  <si>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</si>
  <si>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</si>
  <si>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</si>
  <si>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</si>
  <si>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</si>
  <si>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</si>
  <si>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</si>
  <si>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</si>
  <si>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</si>
  <si>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</si>
  <si>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</si>
  <si>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</si>
  <si>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</si>
  <si>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</si>
  <si>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</si>
  <si>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</si>
  <si>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</si>
  <si>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</si>
  <si>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</si>
  <si>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</si>
  <si>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</si>
  <si>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</si>
  <si>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</si>
  <si>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</si>
  <si>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</si>
  <si>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</si>
  <si>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</si>
  <si>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</si>
  <si>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</si>
  <si>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</si>
  <si>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</si>
  <si>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</si>
  <si>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</si>
  <si>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</si>
  <si>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</si>
  <si>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</si>
  <si>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</si>
  <si>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</si>
  <si>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</si>
  <si>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</si>
  <si>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</si>
  <si>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</si>
  <si>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</si>
  <si>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</si>
  <si>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</si>
  <si>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</si>
  <si>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</si>
  <si>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</si>
  <si>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</si>
  <si>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</si>
  <si>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</si>
  <si>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</si>
  <si>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</si>
  <si>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</si>
  <si>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</si>
  <si>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</si>
  <si>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</si>
  <si>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</si>
  <si>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</si>
  <si>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</si>
  <si>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</si>
  <si>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</si>
  <si>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</si>
  <si>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</si>
  <si>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SUECA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</si>
</sst>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GAHnTNuPmpxEb5OuIO9herVkX1STh9s55lg0eFqdPLKtej1uKdoAwx4GtYCRyZ06Du9hKHUtW4gVDKPGvraqw==" saltValue="oWsDvrmFqSSZE+zbCByX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SUECA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51</v>
      </c>
      <c r="D10" s="404">
        <f>IF(ISNUMBER(C10/Datos!BH10),C10/Datos!BH10," - ")</f>
        <v>25.5</v>
      </c>
      <c r="E10" s="403">
        <f>IF(ISNUMBER(Datos!J10),Datos!J10," - ")</f>
        <v>38</v>
      </c>
      <c r="F10" s="404">
        <f>IF(ISNUMBER(E10/B10),E10/B10," - ")</f>
        <v>19</v>
      </c>
      <c r="G10" s="403">
        <f>IF(ISNUMBER(Datos!K10),Datos!K10," - ")</f>
        <v>38</v>
      </c>
      <c r="H10" s="404">
        <f>IF(ISNUMBER(G10/B10),G10/B10," - ")</f>
        <v>19</v>
      </c>
      <c r="I10" s="403">
        <f>IF(ISNUMBER(Datos!L10),Datos!L10," - ")</f>
        <v>51</v>
      </c>
      <c r="J10" s="404">
        <f>IF(ISNUMBER(I10/B10),I10/B10," - ")</f>
        <v>25.5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2363</v>
      </c>
      <c r="D12" s="404">
        <f>IF(ISNUMBER(C12/Datos!BH12),C12/Datos!BH12," - ")</f>
        <v>393.83333333333331</v>
      </c>
      <c r="E12" s="403">
        <f>IF(ISNUMBER(IF(J_V="SI",Datos!J12,Datos!J12+Datos!Z12)),IF(J_V="SI",Datos!J12,Datos!J12+Datos!Z12)," - ")</f>
        <v>1367</v>
      </c>
      <c r="F12" s="404">
        <f>IF(ISNUMBER(E12/B12),E12/B12," - ")</f>
        <v>227.83333333333334</v>
      </c>
      <c r="G12" s="403">
        <f>IF(ISNUMBER(IF(J_V="SI",Datos!K12,Datos!K12+Datos!AA12)),IF(J_V="SI",Datos!K12,Datos!K12+Datos!AA12)," - ")</f>
        <v>1177</v>
      </c>
      <c r="H12" s="404">
        <f>IF(ISNUMBER(G12/B12),G12/B12," - ")</f>
        <v>196.16666666666666</v>
      </c>
      <c r="I12" s="403">
        <f>IF(ISNUMBER(IF(J_V="SI",Datos!L12,Datos!L12+Datos!AB12)),IF(J_V="SI",Datos!L12,Datos!L12+Datos!AB12)," - ")</f>
        <v>2513</v>
      </c>
      <c r="J12" s="404">
        <f>IF(ISNUMBER(I12/B12),I12/B12," - ")</f>
        <v>418.83333333333331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2414</v>
      </c>
      <c r="D13" s="850" t="str">
        <f>IF(ISNUMBER(C13/Datos!BI13),C13/Datos!BI13," - ")</f>
        <v xml:space="preserve"> - </v>
      </c>
      <c r="E13" s="849">
        <f>SUBTOTAL(9,E8:E12)</f>
        <v>1405</v>
      </c>
      <c r="F13" s="850">
        <f>IF(ISNUMBER(E13/B13),E13/B13," - ")</f>
        <v>200.71428571428572</v>
      </c>
      <c r="G13" s="849">
        <f>SUBTOTAL(9,G8:G12)</f>
        <v>1215</v>
      </c>
      <c r="H13" s="850">
        <f>IF(ISNUMBER(G13/B13),G13/B13," - ")</f>
        <v>173.57142857142858</v>
      </c>
      <c r="I13" s="849">
        <f>SUBTOTAL(9,I8:I12)</f>
        <v>2564</v>
      </c>
      <c r="J13" s="850">
        <f>IF(ISNUMBER(I13/B13),I13/B13," - ")</f>
        <v>366.28571428571428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1762</v>
      </c>
      <c r="D16" s="404">
        <f>IF(ISNUMBER(C16/Datos!BH16),C16/Datos!BH16," - ")</f>
        <v>293.66666666666669</v>
      </c>
      <c r="E16" s="403">
        <f>IF(ISNUMBER(IF(D_I="SI",Datos!J16,Datos!J16+Datos!AD16)),IF(D_I="SI",Datos!J16,Datos!J16+Datos!AD16)," - ")</f>
        <v>1186</v>
      </c>
      <c r="F16" s="404">
        <f>IF(ISNUMBER(E16/B16),E16/B16," - ")</f>
        <v>197.66666666666666</v>
      </c>
      <c r="G16" s="403">
        <f>IF(ISNUMBER(IF(D_I="SI",Datos!K16,Datos!K16+Datos!AE16)),IF(D_I="SI",Datos!K16,Datos!K16+Datos!AE16)," - ")</f>
        <v>1231</v>
      </c>
      <c r="H16" s="404">
        <f>IF(ISNUMBER(G16/B16),G16/B16," - ")</f>
        <v>205.16666666666666</v>
      </c>
      <c r="I16" s="403">
        <f>IF(ISNUMBER(IF(D_I="SI",Datos!L16,Datos!L16+Datos!AF16)),IF(D_I="SI",Datos!L16,Datos!L16+Datos!AF16)," - ")</f>
        <v>1677</v>
      </c>
      <c r="J16" s="404">
        <f>IF(ISNUMBER(I16/B16),I16/B16," - ")</f>
        <v>279.5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79</v>
      </c>
      <c r="D17" s="404">
        <f>IF(ISNUMBER(C17/Datos!BH17),C17/Datos!BH17," - ")</f>
        <v>39.5</v>
      </c>
      <c r="E17" s="403">
        <f>IF(ISNUMBER(IF(D_I="SI",Datos!J17,Datos!J17+Datos!AD17)),IF(D_I="SI",Datos!J17,Datos!J17+Datos!AD17)," - ")</f>
        <v>277</v>
      </c>
      <c r="F17" s="404">
        <f>IF(ISNUMBER(E17/B17),E17/B17," - ")</f>
        <v>138.5</v>
      </c>
      <c r="G17" s="403">
        <f>IF(ISNUMBER(IF(D_I="SI",Datos!K17,Datos!K17+Datos!AE17)),IF(D_I="SI",Datos!K17,Datos!K17+Datos!AE17)," - ")</f>
        <v>299</v>
      </c>
      <c r="H17" s="404">
        <f>IF(ISNUMBER(G17/B17),G17/B17," - ")</f>
        <v>149.5</v>
      </c>
      <c r="I17" s="403">
        <f>IF(ISNUMBER(IF(D_I="SI",Datos!L17,Datos!L17+Datos!AF17)),IF(D_I="SI",Datos!L17,Datos!L17+Datos!AF17)," - ")</f>
        <v>57</v>
      </c>
      <c r="J17" s="404">
        <f>IF(ISNUMBER(I17/B17),I17/B17," - ")</f>
        <v>28.5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1841</v>
      </c>
      <c r="D18" s="850" t="str">
        <f>IF(ISNUMBER(C18/Datos!BI18),C18/Datos!BI18," - ")</f>
        <v xml:space="preserve"> - </v>
      </c>
      <c r="E18" s="849">
        <f>SUBTOTAL(9,E14:E17)</f>
        <v>1463</v>
      </c>
      <c r="F18" s="850">
        <f>IF(ISNUMBER(E18/B18),E18/B18," - ")</f>
        <v>209</v>
      </c>
      <c r="G18" s="849">
        <f>SUBTOTAL(9,G14:G17)</f>
        <v>1530</v>
      </c>
      <c r="H18" s="850">
        <f>IF(ISNUMBER(G18/B18),G18/B18," - ")</f>
        <v>218.57142857142858</v>
      </c>
      <c r="I18" s="849">
        <f>SUBTOTAL(9,I14:I17)</f>
        <v>1734</v>
      </c>
      <c r="J18" s="850">
        <f>IF(ISNUMBER(I18/B18),I18/B18," - ")</f>
        <v>247.71428571428572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4255</v>
      </c>
      <c r="D19" s="795" t="str">
        <f>IF(ISNUMBER(C19/Datos!BI19),C19/Datos!BI19," - ")</f>
        <v xml:space="preserve"> - </v>
      </c>
      <c r="E19" s="794">
        <f>SUBTOTAL(9,E9:E18)</f>
        <v>2868</v>
      </c>
      <c r="F19" s="795">
        <f>IF(ISNUMBER(E19/B19),E19/B19," - ")</f>
        <v>409.71428571428572</v>
      </c>
      <c r="G19" s="794">
        <f>SUBTOTAL(9,G9:G18)</f>
        <v>2745</v>
      </c>
      <c r="H19" s="795">
        <f>IF(ISNUMBER(G19/B19),G19/B19," - ")</f>
        <v>392.14285714285717</v>
      </c>
      <c r="I19" s="794">
        <f>SUBTOTAL(9,I9:I18)</f>
        <v>4298</v>
      </c>
      <c r="J19" s="795">
        <f>IF(ISNUMBER(I19/B19),I19/B19," - ")</f>
        <v>614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oDXxImegD4JtYKUZii6igqJ9Snhj16WuktDEG+vIkH6h4NdflWJAdjZrtdjQOTP23sxJaBwb/XpcPIN9f+Cedg==" saltValue="aZK/qWernHn54ExsTzoT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SUECA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LjTYhumjFDQE7evGHF7qw7XqQkt/HgLx8lrlT8GffUqzEfcxkgogn03B/WNIFBWm2D/79A/64Ts/AuFiLyVg==" saltValue="PyF6PjQxRu5CCQ8r+ucO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SUECA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2</v>
      </c>
      <c r="C10" s="410">
        <f>Datos!AQ10</f>
        <v>1</v>
      </c>
      <c r="D10" s="403">
        <f>IF(ISNUMBER(Datos!M10),Datos!M10," - ")</f>
        <v>18</v>
      </c>
      <c r="E10" s="404">
        <f>IF(ISNUMBER(D10/B10),D10/B10," - ")</f>
        <v>9</v>
      </c>
      <c r="F10" s="403">
        <f>IF(ISNUMBER(Datos!N10),Datos!N10," - ")</f>
        <v>17</v>
      </c>
      <c r="G10" s="404">
        <f>IF(ISNUMBER(F10/B10),F10/B10," - ")</f>
        <v>8.5</v>
      </c>
      <c r="H10" s="403">
        <f>IF(ISNUMBER(Datos!O10),Datos!O10," - ")</f>
        <v>4</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300</v>
      </c>
      <c r="E12" s="404">
        <f t="shared" si="0"/>
        <v>50</v>
      </c>
      <c r="F12" s="403">
        <f>IF(ISNUMBER(Datos!N12),Datos!N12," - ")</f>
        <v>464</v>
      </c>
      <c r="G12" s="404">
        <f t="shared" si="1"/>
        <v>77.333333333333329</v>
      </c>
      <c r="H12" s="403">
        <f>IF(ISNUMBER(Datos!O12),Datos!O12," - ")</f>
        <v>597</v>
      </c>
      <c r="I12" s="404">
        <f t="shared" si="2"/>
        <v>99.5</v>
      </c>
      <c r="BZ12" s="1186">
        <f>Datos!EZ12</f>
        <v>0</v>
      </c>
    </row>
    <row r="13" spans="1:78" ht="14.25" thickTop="1" thickBot="1">
      <c r="A13" s="848" t="str">
        <f>Datos!A13</f>
        <v>TOTAL</v>
      </c>
      <c r="B13" s="849">
        <f>Datos!AP13</f>
        <v>7</v>
      </c>
      <c r="C13" s="851">
        <f>Datos!AR13</f>
        <v>7</v>
      </c>
      <c r="D13" s="849">
        <f>SUBTOTAL(9,D9:D12)</f>
        <v>318</v>
      </c>
      <c r="E13" s="850">
        <f t="shared" si="0"/>
        <v>45.428571428571431</v>
      </c>
      <c r="F13" s="849">
        <f>SUBTOTAL(9,F9:F12)</f>
        <v>481</v>
      </c>
      <c r="G13" s="850">
        <f t="shared" si="1"/>
        <v>68.714285714285708</v>
      </c>
      <c r="H13" s="849">
        <f>SUBTOTAL(9,H9:H12)</f>
        <v>601</v>
      </c>
      <c r="I13" s="850">
        <f>IF(ISNUMBER(H13/B13),H13/B13," - ")</f>
        <v>85.857142857142861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252</v>
      </c>
      <c r="E16" s="404">
        <f t="shared" si="3"/>
        <v>42</v>
      </c>
      <c r="F16" s="403">
        <f>IF(ISNUMBER(Datos!N16),Datos!N16," - ")</f>
        <v>583</v>
      </c>
      <c r="G16" s="404">
        <f t="shared" si="4"/>
        <v>97.166666666666671</v>
      </c>
      <c r="H16" s="403">
        <f>IF(ISNUMBER(Datos!O16),Datos!O16," - ")</f>
        <v>31</v>
      </c>
      <c r="I16" s="404">
        <f t="shared" si="5"/>
        <v>5.166666666666667</v>
      </c>
      <c r="BZ16" s="1186">
        <f>Datos!EZ16</f>
        <v>0</v>
      </c>
    </row>
    <row r="17" spans="1:78" ht="13.5" thickBot="1">
      <c r="A17" s="402" t="str">
        <f>Datos!A17</f>
        <v>Jdos. Violencia contra la mujer</v>
      </c>
      <c r="B17" s="427">
        <f>Datos!AO17</f>
        <v>2</v>
      </c>
      <c r="C17" s="428">
        <f>Datos!AQ17</f>
        <v>1</v>
      </c>
      <c r="D17" s="403">
        <f>IF(ISNUMBER(Datos!M17),Datos!M17," - ")</f>
        <v>92</v>
      </c>
      <c r="E17" s="404">
        <f>IF(ISNUMBER(D17/B17),D17/B17," - ")</f>
        <v>46</v>
      </c>
      <c r="F17" s="403">
        <f>IF(ISNUMBER(Datos!N17),Datos!N17," - ")</f>
        <v>160</v>
      </c>
      <c r="G17" s="404">
        <f>IF(ISNUMBER(F17/B17),F17/B17," - ")</f>
        <v>80</v>
      </c>
      <c r="H17" s="403">
        <f>IF(ISNUMBER(Datos!O17),Datos!O17," - ")</f>
        <v>13</v>
      </c>
      <c r="I17" s="404">
        <f t="shared" si="5"/>
        <v>6.5</v>
      </c>
      <c r="BZ17" s="1186">
        <f>Datos!EZ17</f>
        <v>0</v>
      </c>
    </row>
    <row r="18" spans="1:78" ht="14.25" thickTop="1" thickBot="1">
      <c r="A18" s="848" t="str">
        <f>Datos!A18</f>
        <v>TOTAL</v>
      </c>
      <c r="B18" s="849">
        <f>Datos!AP18</f>
        <v>7</v>
      </c>
      <c r="C18" s="851">
        <f>Datos!AR18</f>
        <v>7</v>
      </c>
      <c r="D18" s="849">
        <f>SUBTOTAL(9,D15:D17)</f>
        <v>344</v>
      </c>
      <c r="E18" s="850">
        <f t="shared" si="3"/>
        <v>49.142857142857146</v>
      </c>
      <c r="F18" s="849">
        <f>SUBTOTAL(9,F15:F17)</f>
        <v>743</v>
      </c>
      <c r="G18" s="850">
        <f t="shared" si="4"/>
        <v>106.14285714285714</v>
      </c>
      <c r="H18" s="849">
        <f>SUBTOTAL(9,H15:H17)</f>
        <v>44</v>
      </c>
      <c r="I18" s="850">
        <f>IF(ISNUMBER(H18/B18),H18/B18," - ")</f>
        <v>6.2857142857142856</v>
      </c>
      <c r="BZ18" s="1186"/>
    </row>
    <row r="19" spans="1:78" ht="14.25" thickTop="1" thickBot="1">
      <c r="A19" s="793" t="str">
        <f>Datos!A19</f>
        <v>TOTAL JURISDICCIONES</v>
      </c>
      <c r="B19" s="794">
        <f>Datos!AP19</f>
        <v>7</v>
      </c>
      <c r="C19" s="794">
        <f>Datos!AR19</f>
        <v>7</v>
      </c>
      <c r="D19" s="794">
        <f>SUBTOTAL(9,D8:D18)</f>
        <v>662</v>
      </c>
      <c r="E19" s="795">
        <f>IF(ISNUMBER(D19/B19),D19/B19," - ")</f>
        <v>94.571428571428569</v>
      </c>
      <c r="F19" s="794">
        <f>SUBTOTAL(9,F8:F18)</f>
        <v>1224</v>
      </c>
      <c r="G19" s="795">
        <f>IF(ISNUMBER(F19/B19),F19/B19," - ")</f>
        <v>174.85714285714286</v>
      </c>
      <c r="H19" s="794">
        <f>SUBTOTAL(9,H8:H18)</f>
        <v>645</v>
      </c>
      <c r="I19" s="795">
        <f>IF(ISNUMBER(H19/B19),H19/B19," - ")</f>
        <v>92.142857142857139</v>
      </c>
    </row>
    <row r="22" spans="1:78">
      <c r="A22" s="391" t="str">
        <f>Criterios!A4</f>
        <v>Fecha Informe: 27 feb. 2025</v>
      </c>
    </row>
    <row r="27" spans="1:78">
      <c r="A27" s="414"/>
    </row>
  </sheetData>
  <sheetProtection algorithmName="SHA-512" hashValue="wkEz6le8is4fxXus/8umF34MhQ21gm2sYWsNdfgzbUBsJCr+HZVz9oCmLVWmYV5FFQtm77aEkSswspXV3L7GEg==" saltValue="q/kwP7Xomfc6jzzlOxdp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SUECA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40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262</v>
      </c>
      <c r="C12" s="434">
        <f>IF(ISNUMBER(Datos!Q12),Datos!Q12," - ")</f>
        <v>270</v>
      </c>
      <c r="D12" s="408">
        <f>IF(ISNUMBER(Datos!R12),Datos!R12," - ")</f>
        <v>4311</v>
      </c>
    </row>
    <row r="13" spans="1:4" ht="14.25" thickTop="1" thickBot="1">
      <c r="A13" s="848" t="str">
        <f>Datos!A13</f>
        <v>TOTAL</v>
      </c>
      <c r="B13" s="849">
        <f>SUBTOTAL(9,B9:B12)</f>
        <v>264</v>
      </c>
      <c r="C13" s="853">
        <f>SUBTOTAL(9,C9:C12)</f>
        <v>271</v>
      </c>
      <c r="D13" s="851">
        <f>SUBTOTAL(9,D9:D12)</f>
        <v>4351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60</v>
      </c>
      <c r="C16" s="434">
        <f>IF(ISNUMBER(Datos!Q16),Datos!Q16," - ")</f>
        <v>44</v>
      </c>
      <c r="D16" s="408">
        <f>IF(ISNUMBER(Datos!R16),Datos!R16," - ")</f>
        <v>316</v>
      </c>
    </row>
    <row r="17" spans="1:4" ht="13.5" thickBot="1">
      <c r="A17" s="402" t="str">
        <f>Datos!A17</f>
        <v>Jdos. Violencia contra la mujer</v>
      </c>
      <c r="B17" s="433">
        <f>IF(ISNUMBER(Datos!P17),Datos!P17," - ")</f>
        <v>10</v>
      </c>
      <c r="C17" s="434">
        <f>IF(ISNUMBER(Datos!Q17),Datos!Q17," - ")</f>
        <v>13</v>
      </c>
      <c r="D17" s="408">
        <f>IF(ISNUMBER(Datos!R17),Datos!R17," - ")</f>
        <v>12</v>
      </c>
    </row>
    <row r="18" spans="1:4" ht="14.25" thickTop="1" thickBot="1">
      <c r="A18" s="848" t="str">
        <f>Datos!A18</f>
        <v>TOTAL</v>
      </c>
      <c r="B18" s="849">
        <f>SUBTOTAL(9,B15:B17)</f>
        <v>70</v>
      </c>
      <c r="C18" s="853">
        <f>SUBTOTAL(9,C15:C17)</f>
        <v>57</v>
      </c>
      <c r="D18" s="851">
        <f>SUBTOTAL(9,D15:D17)</f>
        <v>328</v>
      </c>
    </row>
    <row r="19" spans="1:4" ht="16.5" customHeight="1" thickTop="1" thickBot="1">
      <c r="A19" s="793" t="str">
        <f>Datos!A19</f>
        <v>TOTAL JURISDICCIONES</v>
      </c>
      <c r="B19" s="798">
        <f>SUBTOTAL(9,B8:B18)</f>
        <v>334</v>
      </c>
      <c r="C19" s="799">
        <f>SUBTOTAL(9,C8:C18)</f>
        <v>328</v>
      </c>
      <c r="D19" s="800">
        <f>SUBTOTAL(9,D8:D18)</f>
        <v>4679</v>
      </c>
    </row>
    <row r="20" spans="1:4" ht="7.5" customHeight="1"/>
    <row r="21" spans="1:4" ht="6" customHeight="1"/>
    <row r="22" spans="1:4">
      <c r="A22" s="391" t="str">
        <f>Criterios!A4</f>
        <v>Fecha Informe: 27 feb. 2025</v>
      </c>
    </row>
    <row r="27" spans="1:4">
      <c r="A27" s="414"/>
    </row>
  </sheetData>
  <sheetProtection algorithmName="SHA-512" hashValue="ECu9VqxAl1MHdP/WoxoshCZhs+knvtMXkfKcUZHLLHCCtm0Dmp7XkWxTSVHbGaDMmWF3IgzLGsr1k40mDWHcpw==" saltValue="sCleYYBlWihwTSmd22rS0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SUECA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-0.16393442622950818</v>
      </c>
      <c r="C10" s="456">
        <f>IF(ISNUMBER((Datos!J10-Datos!T10)/Datos!T10),(Datos!J10-Datos!T10)/Datos!T10," - ")</f>
        <v>-0.13636363636363635</v>
      </c>
      <c r="D10" s="456">
        <f>IF(ISNUMBER((Datos!K10-Datos!U10)/Datos!U10),(Datos!K10-Datos!U10)/Datos!U10," - ")</f>
        <v>-0.19148936170212766</v>
      </c>
      <c r="E10" s="456">
        <f>IF(ISNUMBER((Datos!L10-Datos!V10)/Datos!V10),(Datos!L10-Datos!V10)/Datos!V10," - ")</f>
        <v>-0.1206896551724138</v>
      </c>
      <c r="F10" s="456">
        <f>IF(ISNUMBER((Datos!M10-Datos!W10)/Datos!W10),(Datos!M10-Datos!W10)/Datos!W10," - ")</f>
        <v>-0.21739130434782608</v>
      </c>
      <c r="G10" s="457">
        <f>IF(ISNUMBER((Datos!N10-Datos!X10)/Datos!X10),(Datos!N10-Datos!X10)/Datos!X10," - ")</f>
        <v>-0.10526315789473684</v>
      </c>
      <c r="H10" s="455">
        <f>IF(ISNUMBER(((NºAsuntos!G10/NºAsuntos!E10)-Datos!BD10)/Datos!BD10),((NºAsuntos!G10/NºAsuntos!E10)-Datos!BD10)/Datos!BD10," - ")</f>
        <v>-6.3829787234042507E-2</v>
      </c>
      <c r="I10" s="456">
        <f>IF(ISNUMBER(((NºAsuntos!I10/NºAsuntos!G10)-Datos!BE10)/Datos!BE10),((NºAsuntos!I10/NºAsuntos!G10)-Datos!BE10)/Datos!BE10," - ")</f>
        <v>8.7568058076225003E-2</v>
      </c>
      <c r="J10" s="461">
        <f>IF(ISNUMBER((('Resol  Asuntos'!D10/NºAsuntos!G10)-Datos!BF10)/Datos!BF10),(('Resol  Asuntos'!D10/NºAsuntos!G10)-Datos!BF10)/Datos!BF10," - ")</f>
        <v>-3.2036613272311235E-2</v>
      </c>
      <c r="K10" s="462">
        <f>IF(ISNUMBER((((NºAsuntos!C10+NºAsuntos!E10)/NºAsuntos!G10)-Datos!BG10)/Datos!BG10),(((NºAsuntos!C10+NºAsuntos!E10)/NºAsuntos!G10)-Datos!BG10)/Datos!BG10," - ")</f>
        <v>4.8370927318295821E-2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1.2425021422450729E-2</v>
      </c>
      <c r="C12" s="456">
        <f>IF(ISNUMBER(
   IF(J_V="SI",(Datos!J12-Datos!T12)/Datos!T12,(Datos!J12+Datos!Z12-(Datos!T12+Datos!AH12))/(Datos!T12+Datos!AH12))
     ),IF(J_V="SI",(Datos!J12-Datos!T12)/Datos!T12,(Datos!J12+Datos!Z12-(Datos!T12+Datos!AH12))/(Datos!T12+Datos!AH12))," - ")</f>
        <v>-5.5939226519337019E-2</v>
      </c>
      <c r="D12" s="456">
        <f>IF(ISNUMBER(
   IF(J_V="SI",(Datos!K12-Datos!U12)/Datos!U12,(Datos!K12+Datos!AA12-(Datos!U12+Datos!AI12))/(Datos!U12+Datos!AI12))
     ),IF(J_V="SI",(Datos!K12-Datos!U12)/Datos!U12,(Datos!K12+Datos!AA12-(Datos!U12+Datos!AI12))/(Datos!U12+Datos!AI12))," - ")</f>
        <v>-0.23372395833333334</v>
      </c>
      <c r="E12" s="456">
        <f>IF(ISNUMBER(
   IF(J_V="SI",(Datos!L12-Datos!V12)/Datos!V12,(Datos!L12+Datos!AB12-(Datos!V12+Datos!AJ12))/(Datos!V12+Datos!AJ12))
     ),IF(J_V="SI",(Datos!L12-Datos!V12)/Datos!V12,(Datos!L12+Datos!AB12-(Datos!V12+Datos!AJ12))/(Datos!V12+Datos!AJ12))," - ")</f>
        <v>0.11589698046181172</v>
      </c>
      <c r="F12" s="456">
        <f>IF(ISNUMBER((Datos!M12-Datos!W12)/Datos!W12),(Datos!M12-Datos!W12)/Datos!W12," - ")</f>
        <v>-0.16897506925207756</v>
      </c>
      <c r="G12" s="457">
        <f>IF(ISNUMBER((Datos!N12-Datos!X12)/Datos!X12),(Datos!N12-Datos!X12)/Datos!X12," - ")</f>
        <v>-0.12287334593572778</v>
      </c>
      <c r="H12" s="455">
        <f>IF(ISNUMBER(((NºAsuntos!G12/NºAsuntos!E12)-Datos!BD12)/Datos!BD12),((NºAsuntos!G12/NºAsuntos!E12)-Datos!BD12)/Datos!BD12," - ")</f>
        <v>-0.18831915996098511</v>
      </c>
      <c r="I12" s="456">
        <f>IF(ISNUMBER(((NºAsuntos!I12/NºAsuntos!G12)-Datos!BE12)/Datos!BE12),((NºAsuntos!I12/NºAsuntos!G12)-Datos!BE12)/Datos!BE12," - ")</f>
        <v>0.45625978078958623</v>
      </c>
      <c r="J12" s="461">
        <f>IF(ISNUMBER((('Resol  Asuntos'!D12/NºAsuntos!G12)-Datos!BF12)/Datos!BF12),(('Resol  Asuntos'!D12/NºAsuntos!G12)-Datos!BF12)/Datos!BF12," - ")</f>
        <v>-0.25991715826176898</v>
      </c>
      <c r="K12" s="462">
        <f>IF(ISNUMBER((((NºAsuntos!C12+NºAsuntos!E12)/NºAsuntos!G12)-Datos!BG12)/Datos!BG12),(((NºAsuntos!C12+NºAsuntos!E12)/NºAsuntos!G12)-Datos!BG12)/Datos!BG12," - ")</f>
        <v>0.28706968167867553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7.9331941544885185E-3</v>
      </c>
      <c r="C13" s="855">
        <f>IF(ISNUMBER(
   IF(J_V="SI",(Datos!J13-Datos!T13)/Datos!T13,(Datos!J13+Datos!Z13-(Datos!T13+Datos!AH13))/(Datos!T13+Datos!AH13))
     ),IF(J_V="SI",(Datos!J13-Datos!T13)/Datos!T13,(Datos!J13+Datos!Z13-(Datos!T13+Datos!AH13))/(Datos!T13+Datos!AH13))," - ")</f>
        <v>-5.8310991957104555E-2</v>
      </c>
      <c r="D13" s="855">
        <f>IF(ISNUMBER(
   IF(J_V="SI",(Datos!K13-Datos!U13)/Datos!U13,(Datos!K13+Datos!AA13-(Datos!U13+Datos!AI13))/(Datos!U13+Datos!AI13))
     ),IF(J_V="SI",(Datos!K13-Datos!U13)/Datos!U13,(Datos!K13+Datos!AA13-(Datos!U13+Datos!AI13))/(Datos!U13+Datos!AI13))," - ")</f>
        <v>-0.2324699936828806</v>
      </c>
      <c r="E13" s="855">
        <f>IF(ISNUMBER(
   IF(J_V="SI",(Datos!L13-Datos!V13)/Datos!V13,(Datos!L13+Datos!AB13-(Datos!V13+Datos!AJ13))/(Datos!V13+Datos!AJ13))
     ),IF(J_V="SI",(Datos!L13-Datos!V13)/Datos!V13,(Datos!L13+Datos!AB13-(Datos!V13+Datos!AJ13))/(Datos!V13+Datos!AJ13))," - ")</f>
        <v>0.10995670995670996</v>
      </c>
      <c r="F13" s="856">
        <f>IF(ISNUMBER((Datos!M13-Datos!W13)/Datos!W13),(Datos!M13-Datos!W13)/Datos!W13," - ")</f>
        <v>-0.171875</v>
      </c>
      <c r="G13" s="857">
        <f>IF(ISNUMBER((Datos!N13-Datos!X13)/Datos!X13),(Datos!N13-Datos!X13)/Datos!X13," - ")</f>
        <v>-0.12226277372262774</v>
      </c>
      <c r="H13" s="857">
        <f>IF(ISNUMBER(((NºAsuntos!G13/NºAsuntos!E13)-Datos!BD13)/Datos!BD13),((NºAsuntos!G13/NºAsuntos!E13)-Datos!BD13)/Datos!BD13," - ")</f>
        <v>-0.18494322460843976</v>
      </c>
      <c r="I13" s="857">
        <f>IF(ISNUMBER(((NºAsuntos!I13/NºAsuntos!G13)-Datos!BE13)/Datos!BE13),((NºAsuntos!I13/NºAsuntos!G13)-Datos!BE13)/Datos!BE13," - ")</f>
        <v>0.44614112910409198</v>
      </c>
      <c r="J13" s="857">
        <f>IF(ISNUMBER((('Resol  Asuntos'!D13/NºAsuntos!G13)-Datos!BF13)/Datos!BF13),(('Resol  Asuntos'!D13/NºAsuntos!G13)-Datos!BF13)/Datos!BF13," - ")</f>
        <v>-0.24942744677044193</v>
      </c>
      <c r="K13" s="857">
        <f>IF(ISNUMBER((((NºAsuntos!C13+NºAsuntos!E13)/NºAsuntos!G13)-Datos!BG13)/Datos!BG13),(((NºAsuntos!C13+NºAsuntos!E13)/NºAsuntos!G13)-Datos!BG13)/Datos!BG13," - ")</f>
        <v>0.28008778867195794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0.15088177661659047</v>
      </c>
      <c r="C16" s="456">
        <f>IF(ISNUMBER(
   IF(D_I="SI",(Datos!J16-Datos!T16)/Datos!T16,(Datos!J16+Datos!AD16-(Datos!T16+Datos!AL16))/(Datos!T16+Datos!AL16))
     ),IF(D_I="SI",(Datos!J16-Datos!T16)/Datos!T16,(Datos!J16+Datos!AD16-(Datos!T16+Datos!AL16))/(Datos!T16+Datos!AL16))," - ")</f>
        <v>-5.6483691328560064E-2</v>
      </c>
      <c r="D16" s="456">
        <f>IF(ISNUMBER(
   IF(D_I="SI",(Datos!K16-Datos!U16)/Datos!U16,(Datos!K16+Datos!AE16-(Datos!U16+Datos!AM16))/(Datos!U16+Datos!AM16))
     ),IF(D_I="SI",(Datos!K16-Datos!U16)/Datos!U16,(Datos!K16+Datos!AE16-(Datos!U16+Datos!AM16))/(Datos!U16+Datos!AM16))," - ")</f>
        <v>3.4453781512605045E-2</v>
      </c>
      <c r="E16" s="456">
        <f>IF(ISNUMBER(
   IF(D_I="SI",(Datos!L16-Datos!V16)/Datos!V16,(Datos!L16+Datos!AF16-(Datos!V16+Datos!AN16))/(Datos!V16+Datos!AN16))
     ),IF(D_I="SI",(Datos!L16-Datos!V16)/Datos!V16,(Datos!L16+Datos!AF16-(Datos!V16+Datos!AN16))/(Datos!V16+Datos!AN16))," - ")</f>
        <v>4.6163443543356206E-2</v>
      </c>
      <c r="F16" s="456">
        <f>IF(ISNUMBER((Datos!M16-Datos!W16)/Datos!W16),(Datos!M16-Datos!W16)/Datos!W16," - ")</f>
        <v>0.27272727272727271</v>
      </c>
      <c r="G16" s="457">
        <f>IF(ISNUMBER((Datos!N16-Datos!X16)/Datos!X16),(Datos!N16-Datos!X16)/Datos!X16," - ")</f>
        <v>-0.18002812939521801</v>
      </c>
      <c r="H16" s="455">
        <f>IF(ISNUMBER(((NºAsuntos!G16/NºAsuntos!E16)-Datos!BD16)/Datos!BD16),((NºAsuntos!G16/NºAsuntos!E16)-Datos!BD16)/Datos!BD16," - ")</f>
        <v>9.6381453087136928E-2</v>
      </c>
      <c r="I16" s="456">
        <f>IF(ISNUMBER(((NºAsuntos!I16/NºAsuntos!G16)-Datos!BE16)/Datos!BE16),((NºAsuntos!I16/NºAsuntos!G16)-Datos!BE16)/Datos!BE16," - ")</f>
        <v>1.1319657040287414E-2</v>
      </c>
      <c r="J16" s="461">
        <f>IF(ISNUMBER((('Resol  Asuntos'!D16/NºAsuntos!G16)-Datos!BF16)/Datos!BF16),(('Resol  Asuntos'!D16/NºAsuntos!G16)-Datos!BF16)/Datos!BF16," - ")</f>
        <v>0.23033749353814348</v>
      </c>
      <c r="K16" s="462">
        <f>IF(ISNUMBER((((NºAsuntos!C16+NºAsuntos!E16)/NºAsuntos!G16)-Datos!BG16)/Datos!BG16),(((NºAsuntos!C16+NºAsuntos!E16)/NºAsuntos!G16)-Datos!BG16)/Datos!BG16," - ")</f>
        <v>2.217114778783846E-2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-0.10227272727272728</v>
      </c>
      <c r="C17" s="456">
        <f>IF(ISNUMBER(
   IF(D_I="SI",(Datos!J17-Datos!T17)/Datos!T17,(Datos!J17+Datos!AD17-(Datos!T17+Datos!AL17))/(Datos!T17+Datos!AL17))
     ),IF(D_I="SI",(Datos!J17-Datos!T17)/Datos!T17,(Datos!J17+Datos!AD17-(Datos!T17+Datos!AL17))/(Datos!T17+Datos!AL17))," - ")</f>
        <v>-0.26912928759894461</v>
      </c>
      <c r="D17" s="456">
        <f>IF(ISNUMBER(
   IF(D_I="SI",(Datos!K17-Datos!U17)/Datos!U17,(Datos!K17+Datos!AE17-(Datos!U17+Datos!AM17))/(Datos!U17+Datos!AM17))
     ),IF(D_I="SI",(Datos!K17-Datos!U17)/Datos!U17,(Datos!K17+Datos!AE17-(Datos!U17+Datos!AM17))/(Datos!U17+Datos!AM17))," - ")</f>
        <v>-0.24111675126903553</v>
      </c>
      <c r="E17" s="456">
        <f>IF(ISNUMBER(
   IF(D_I="SI",(Datos!L17-Datos!V17)/Datos!V17,(Datos!L17+Datos!AF17-(Datos!V17+Datos!AN17))/(Datos!V17+Datos!AN17))
     ),IF(D_I="SI",(Datos!L17-Datos!V17)/Datos!V17,(Datos!L17+Datos!AF17-(Datos!V17+Datos!AN17))/(Datos!V17+Datos!AN17))," - ")</f>
        <v>-0.21917808219178081</v>
      </c>
      <c r="F17" s="456">
        <f>IF(ISNUMBER((Datos!M17-Datos!W17)/Datos!W17),(Datos!M17-Datos!W17)/Datos!W17," - ")</f>
        <v>-7.0707070707070704E-2</v>
      </c>
      <c r="G17" s="457">
        <f>IF(ISNUMBER((Datos!N17-Datos!X17)/Datos!X17),(Datos!N17-Datos!X17)/Datos!X17," - ")</f>
        <v>-7.5144508670520235E-2</v>
      </c>
      <c r="H17" s="455">
        <f>IF(ISNUMBER(((NºAsuntos!G17/NºAsuntos!E17)-Datos!BD17)/Datos!BD17),((NºAsuntos!G17/NºAsuntos!E17)-Datos!BD17)/Datos!BD17," - ")</f>
        <v>3.8327621909875584E-2</v>
      </c>
      <c r="I17" s="456">
        <f>IF(ISNUMBER(((NºAsuntos!I17/NºAsuntos!G17)-Datos!BE17)/Datos!BE17),((NºAsuntos!I17/NºAsuntos!G17)-Datos!BE17)/Datos!BE17," - ")</f>
        <v>2.8909149218857441E-2</v>
      </c>
      <c r="J17" s="461">
        <f>IF(ISNUMBER((('Resol  Asuntos'!D17/NºAsuntos!G17)-Datos!BF17)/Datos!BF17),(('Resol  Asuntos'!D17/NºAsuntos!G17)-Datos!BF17)/Datos!BF17," - ")</f>
        <v>0.22455322455322474</v>
      </c>
      <c r="K17" s="462">
        <f>IF(ISNUMBER((((NºAsuntos!C17+NºAsuntos!E17)/NºAsuntos!G17)-Datos!BG17)/Datos!BG17),(((NºAsuntos!C17+NºAsuntos!E17)/NºAsuntos!G17)-Datos!BG17)/Datos!BG17," - ")</f>
        <v>4.5189890641898246E-3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0.13712168004941322</v>
      </c>
      <c r="C18" s="855">
        <f>IF(ISNUMBER(
   IF(Criterios!B14="SI",(Datos!J18-Datos!T18)/Datos!T18,(Datos!J18+Datos!AD18-(Datos!T18+Datos!AL18))/(Datos!T18+Datos!AL18))
     ),IF(Criterios!B14="SI",(Datos!J18-Datos!T18)/Datos!T18,(Datos!J18+Datos!AD18-(Datos!T18+Datos!AL18))/(Datos!T18+Datos!AL18))," - ")</f>
        <v>-0.10574572127139364</v>
      </c>
      <c r="D18" s="855">
        <f>IF(ISNUMBER(
   IF(Criterios!B14="SI",(Datos!K18-Datos!U18)/Datos!U18,(Datos!K18+Datos!AE18-(Datos!U18+Datos!AM18))/(Datos!U18+Datos!AM18))
     ),IF(Criterios!B14="SI",(Datos!K18-Datos!U18)/Datos!U18,(Datos!K18+Datos!AE18-(Datos!U18+Datos!AM18))/(Datos!U18+Datos!AM18))," - ")</f>
        <v>-3.4090909090909088E-2</v>
      </c>
      <c r="E18" s="855">
        <f>IF(ISNUMBER(
   IF(Criterios!B14="SI",(Datos!L18-Datos!V18)/Datos!V18,(Datos!L18+Datos!AF18-(Datos!V18+Datos!AN18))/(Datos!V18+Datos!AN18))
     ),IF(Criterios!B14="SI",(Datos!L18-Datos!V18)/Datos!V18,(Datos!L18+Datos!AF18-(Datos!V18+Datos!AN18))/(Datos!V18+Datos!AN18))," - ")</f>
        <v>3.4606205250596656E-2</v>
      </c>
      <c r="F18" s="856">
        <f>IF(ISNUMBER((Datos!M18-Datos!W18)/Datos!W18),(Datos!M18-Datos!W18)/Datos!W18," - ")</f>
        <v>0.15824915824915825</v>
      </c>
      <c r="G18" s="857">
        <f>IF(ISNUMBER((Datos!N18-Datos!X18)/Datos!X18),(Datos!N18-Datos!X18)/Datos!X18," - ")</f>
        <v>-0.1595022624434389</v>
      </c>
      <c r="H18" s="857">
        <f>IF(ISNUMBER(((NºAsuntos!G18/NºAsuntos!E18)-Datos!BD18)/Datos!BD18),((NºAsuntos!G18/NºAsuntos!E18)-Datos!BD18)/Datos!BD18," - ")</f>
        <v>8.0128005965326557E-2</v>
      </c>
      <c r="I18" s="857">
        <f>IF(ISNUMBER(((NºAsuntos!I18/NºAsuntos!G18)-Datos!BE18)/Datos!BE18),((NºAsuntos!I18/NºAsuntos!G18)-Datos!BE18)/Datos!BE18," - ")</f>
        <v>7.1121718377088181E-2</v>
      </c>
      <c r="J18" s="857">
        <f>IF(ISNUMBER((('Resol  Asuntos'!D18/NºAsuntos!G18)-Datos!BF18)/Datos!BF18),(('Resol  Asuntos'!D18/NºAsuntos!G18)-Datos!BF18)/Datos!BF18," - ")</f>
        <v>0.19912854030501093</v>
      </c>
      <c r="K18" s="857">
        <f>IF(ISNUMBER((((NºAsuntos!C18+NºAsuntos!E18)/NºAsuntos!G18)-Datos!BG18)/Datos!BG18),(((NºAsuntos!C18+NºAsuntos!E18)/NºAsuntos!G18)-Datos!BG18)/Datos!BG18," - ")</f>
        <v>5.0879190385831802E-2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6.0039860488290984E-2</v>
      </c>
      <c r="C19" s="802">
        <f>IF(ISNUMBER(
   IF(J_V="SI",(Datos!J19-Datos!T19)/Datos!T19,(Datos!J19+Datos!Z19-(Datos!T19+Datos!AH19))/(Datos!T19+Datos!AH19))
     ),IF(J_V="SI",(Datos!J19-Datos!T19)/Datos!T19,(Datos!J19+Datos!Z19-(Datos!T19+Datos!AH19))/(Datos!T19+Datos!AH19))," - ")</f>
        <v>-8.3120204603580564E-2</v>
      </c>
      <c r="D19" s="802">
        <f>IF(ISNUMBER(
   IF(J_V="SI",(Datos!K19-Datos!U19)/Datos!U19,(Datos!K19+Datos!AA19-(Datos!U19+Datos!AI19))/(Datos!U19+Datos!AI19))
     ),IF(J_V="SI",(Datos!K19-Datos!U19)/Datos!U19,(Datos!K19+Datos!AA19-(Datos!U19+Datos!AI19))/(Datos!U19+Datos!AI19))," - ")</f>
        <v>-0.13324913167035049</v>
      </c>
      <c r="E19" s="802">
        <f>IF(ISNUMBER(
   IF(J_V="SI",(Datos!L19-Datos!V19)/Datos!V19,(Datos!L19+Datos!AB19-(Datos!V19+Datos!AJ19))/(Datos!V19+Datos!AJ19))
     ),IF(J_V="SI",(Datos!L19-Datos!V19)/Datos!V19,(Datos!L19+Datos!AB19-(Datos!V19+Datos!AJ19))/(Datos!V19+Datos!AJ19))," - ")</f>
        <v>7.8273958855995987E-2</v>
      </c>
      <c r="F19" s="803">
        <f>IF(ISNUMBER((Datos!M19-Datos!W19)/Datos!W19),(Datos!M19-Datos!W19)/Datos!W19," - ")</f>
        <v>-2.7900146842878122E-2</v>
      </c>
      <c r="G19" s="804">
        <f>IF(ISNUMBER((Datos!N19-Datos!X19)/Datos!X19),(Datos!N19-Datos!X19)/Datos!X19," - ")</f>
        <v>-0.14525139664804471</v>
      </c>
      <c r="H19" s="805">
        <f>IF(ISNUMBER((Tasas!B19-Datos!BD19)/Datos!BD19),(Tasas!B19-Datos!BD19)/Datos!BD19," - ")</f>
        <v>-5.4673390468917872E-2</v>
      </c>
      <c r="I19" s="806">
        <f>IF(ISNUMBER((Tasas!C19-Datos!BE19)/Datos!BE19),(Tasas!C19-Datos!BE19)/Datos!BE19," - ")</f>
        <v>0.24404139442511463</v>
      </c>
      <c r="J19" s="807">
        <f>IF(ISNUMBER((Tasas!D19-Datos!BF19)/Datos!BF19),(Tasas!D19-Datos!BF19)/Datos!BF19," - ")</f>
        <v>-0.10038639693971899</v>
      </c>
      <c r="K19" s="807">
        <f>IF(ISNUMBER((Tasas!E19-Datos!BG19)/Datos!BG19),(Tasas!E19-Datos!BG19)/Datos!BG19," - ")</f>
        <v>0.15066476100993684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9CHg+G3fF3uM/FqPPiU4HdkQCZIwCWwB5lonpM13rTuQmxTgHvMjnZK1qC/snfSrEvvg0C5cqzPRz3k8/Nnnw==" saltValue="XtzDgkPiKJxp+yfDh4rX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SUECA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1.3421052631578947</v>
      </c>
      <c r="D10" s="444">
        <f>IF(ISNUMBER('Resol  Asuntos'!D10/NºAsuntos!G10),'Resol  Asuntos'!D10/NºAsuntos!G10," - ")</f>
        <v>0.47368421052631576</v>
      </c>
      <c r="E10" s="445">
        <f>IF(ISNUMBER((NºAsuntos!C10+NºAsuntos!E10)/NºAsuntos!G10),(NºAsuntos!C10+NºAsuntos!E10)/NºAsuntos!G10," - ")</f>
        <v>2.3421052631578947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0.86100950987564007</v>
      </c>
      <c r="C12" s="443">
        <f>IF(ISNUMBER(NºAsuntos!I12/NºAsuntos!G12),NºAsuntos!I12/NºAsuntos!G12," - ")</f>
        <v>2.1350892098555652</v>
      </c>
      <c r="D12" s="444">
        <f>IF(ISNUMBER('Resol  Asuntos'!D12/NºAsuntos!G12),'Resol  Asuntos'!D12/NºAsuntos!G12," - ")</f>
        <v>0.25488530161427359</v>
      </c>
      <c r="E12" s="445">
        <f>IF(ISNUMBER((NºAsuntos!C12+NºAsuntos!E12)/NºAsuntos!G12),(NºAsuntos!C12+NºAsuntos!E12)/NºAsuntos!G12," - ")</f>
        <v>3.1690739167374682</v>
      </c>
      <c r="G12" s="463"/>
    </row>
    <row r="13" spans="1:7" ht="14.25" thickTop="1" thickBot="1">
      <c r="A13" s="848" t="str">
        <f>Datos!A13</f>
        <v>TOTAL</v>
      </c>
      <c r="B13" s="858">
        <f>IF(ISNUMBER(NºAsuntos!G13/NºAsuntos!E13),NºAsuntos!G13/NºAsuntos!E13," - ")</f>
        <v>0.86476868327402134</v>
      </c>
      <c r="C13" s="859">
        <f>IF(ISNUMBER(NºAsuntos!I13/NºAsuntos!G13),NºAsuntos!I13/NºAsuntos!G13," - ")</f>
        <v>2.1102880658436214</v>
      </c>
      <c r="D13" s="860">
        <f>IF(ISNUMBER('Resol  Asuntos'!D13/NºAsuntos!G13),'Resol  Asuntos'!D13/NºAsuntos!G13," - ")</f>
        <v>0.2617283950617284</v>
      </c>
      <c r="E13" s="861">
        <f>IF(ISNUMBER((NºAsuntos!C13+NºAsuntos!E13)/NºAsuntos!G13),(NºAsuntos!C13+NºAsuntos!E13)/NºAsuntos!G13," - ")</f>
        <v>3.1432098765432097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1.0379426644182124</v>
      </c>
      <c r="C16" s="443">
        <f>IF(ISNUMBER(NºAsuntos!I16/NºAsuntos!G16),NºAsuntos!I16/NºAsuntos!G16," - ")</f>
        <v>1.3623070674248579</v>
      </c>
      <c r="D16" s="444">
        <f>IF(ISNUMBER('Resol  Asuntos'!D16/NºAsuntos!G16),'Resol  Asuntos'!D16/NºAsuntos!G16," - ")</f>
        <v>0.20471161657189277</v>
      </c>
      <c r="E16" s="445">
        <f>IF(ISNUMBER((NºAsuntos!C16+NºAsuntos!E16)/NºAsuntos!G16),(NºAsuntos!C16+NºAsuntos!E16)/NºAsuntos!G16," - ")</f>
        <v>2.3948009748172217</v>
      </c>
      <c r="G16" s="463"/>
    </row>
    <row r="17" spans="1:7" ht="13.5" thickBot="1">
      <c r="A17" s="402" t="str">
        <f>Datos!A17</f>
        <v>Jdos. Violencia contra la mujer</v>
      </c>
      <c r="B17" s="442">
        <f>IF(ISNUMBER(NºAsuntos!G17/NºAsuntos!E17),NºAsuntos!G17/NºAsuntos!E17," - ")</f>
        <v>1.0794223826714802</v>
      </c>
      <c r="C17" s="443">
        <f>IF(ISNUMBER(NºAsuntos!I17/NºAsuntos!G17),NºAsuntos!I17/NºAsuntos!G17," - ")</f>
        <v>0.19063545150501673</v>
      </c>
      <c r="D17" s="444">
        <f>IF(ISNUMBER('Resol  Asuntos'!D17/NºAsuntos!G17),'Resol  Asuntos'!D17/NºAsuntos!G17," - ")</f>
        <v>0.30769230769230771</v>
      </c>
      <c r="E17" s="445">
        <f>IF(ISNUMBER((NºAsuntos!C17+NºAsuntos!E17)/NºAsuntos!G17),(NºAsuntos!C17+NºAsuntos!E17)/NºAsuntos!G17," - ")</f>
        <v>1.1906354515050168</v>
      </c>
      <c r="G17" s="463"/>
    </row>
    <row r="18" spans="1:7" ht="14.25" thickTop="1" thickBot="1">
      <c r="A18" s="848" t="str">
        <f>Datos!A18</f>
        <v>TOTAL</v>
      </c>
      <c r="B18" s="858">
        <f>IF(ISNUMBER(NºAsuntos!G18/NºAsuntos!E18),NºAsuntos!G18/NºAsuntos!E18," - ")</f>
        <v>1.0457963089542037</v>
      </c>
      <c r="C18" s="859">
        <f>IF(ISNUMBER(NºAsuntos!I18/NºAsuntos!G18),NºAsuntos!I18/NºAsuntos!G18," - ")</f>
        <v>1.1333333333333333</v>
      </c>
      <c r="D18" s="862">
        <f>IF(ISNUMBER('Resol  Asuntos'!D18/NºAsuntos!G18),'Resol  Asuntos'!D18/NºAsuntos!G18," - ")</f>
        <v>0.22483660130718955</v>
      </c>
      <c r="E18" s="861">
        <f>IF(ISNUMBER((NºAsuntos!C18+NºAsuntos!E18)/NºAsuntos!G18),(NºAsuntos!C18+NºAsuntos!E18)/NºAsuntos!G18," - ")</f>
        <v>2.1594771241830064</v>
      </c>
      <c r="G18" s="463"/>
    </row>
    <row r="19" spans="1:7" ht="15.75" customHeight="1" thickTop="1" thickBot="1">
      <c r="A19" s="793" t="str">
        <f>Datos!A19</f>
        <v>TOTAL JURISDICCIONES</v>
      </c>
      <c r="B19" s="808">
        <f>IF(ISNUMBER(NºAsuntos!G19/NºAsuntos!E19),NºAsuntos!G19/NºAsuntos!E19," - ")</f>
        <v>0.95711297071129708</v>
      </c>
      <c r="C19" s="809">
        <f>IF(ISNUMBER(NºAsuntos!I19/NºAsuntos!G19),NºAsuntos!I19/NºAsuntos!G19," - ")</f>
        <v>1.5657559198542805</v>
      </c>
      <c r="D19" s="810">
        <f>IF(ISNUMBER('Resol  Asuntos'!D19/NºAsuntos!G19),'Resol  Asuntos'!D19/NºAsuntos!G19," - ")</f>
        <v>0.24116575591985429</v>
      </c>
      <c r="E19" s="811">
        <f>IF(ISNUMBER((NºAsuntos!C19+NºAsuntos!E19)/NºAsuntos!G19),(NºAsuntos!C19+NºAsuntos!E19)/NºAsuntos!G19," - ")</f>
        <v>2.5948998178506377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6rc3bQSe9fk758VFberXJBsVrAhS6hWZiHlhNJM0AGTPii/bnf1A4hmjvqojOfJq0BRkFHSogIF9L6JXEOyXQ==" saltValue="YsWop74QvznH1ZRoin8JW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SUECA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51</v>
      </c>
      <c r="G10" s="333">
        <f>IF(ISNUMBER(Datos!I10),Datos!I10," - ")</f>
        <v>51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38</v>
      </c>
      <c r="X10" s="226">
        <f>IF(ISNUMBER(Datos!Q10),Datos!Q10," - ")</f>
        <v>1</v>
      </c>
      <c r="Y10" s="334">
        <f t="shared" ref="Y10:Y12" si="0">SUM(W10:X10)</f>
        <v>39</v>
      </c>
      <c r="Z10" s="335" t="str">
        <f>IF(ISNUMBER(Datos!CC10),Datos!CC10," - ")</f>
        <v xml:space="preserve"> - </v>
      </c>
      <c r="AA10" s="332">
        <f>IF(ISNUMBER(Datos!L10),Datos!L10,"-")</f>
        <v>51</v>
      </c>
      <c r="AB10" s="334">
        <f>IF(ISNUMBER(Datos!R10),Datos!R10," - ")</f>
        <v>40</v>
      </c>
      <c r="AC10" s="334">
        <f t="shared" ref="AC10:AC12" si="1">IF(ISNUMBER(AA10+AB10),AA10+AB10," - ")</f>
        <v>91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4.0263157894736841</v>
      </c>
      <c r="AN10" s="244">
        <f>IF(ISNUMBER('Resol  Asuntos'!D10/NºAsuntos!G10),'Resol  Asuntos'!D10/NºAsuntos!G10," - ")</f>
        <v>0.47368421052631576</v>
      </c>
      <c r="AO10" s="245">
        <f>IF(ISNUMBER((NºAsuntos!C10+NºAsuntos!E10)/NºAsuntos!G10),(NºAsuntos!C10+NºAsuntos!E10)/NºAsuntos!G10," - ")</f>
        <v>2.3421052631578947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270</v>
      </c>
      <c r="Y12" s="334">
        <f t="shared" si="0"/>
        <v>270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4311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300</v>
      </c>
      <c r="AJ12" s="229" t="str">
        <f>IF(ISNUMBER(Datos!BW12),Datos!BW12," - ")</f>
        <v xml:space="preserve"> - </v>
      </c>
      <c r="AK12" s="228" t="str">
        <f>IF(ISNUMBER(Datos!BX12),Datos!BX12," - ")</f>
        <v xml:space="preserve"> - </v>
      </c>
      <c r="AL12" s="243">
        <f>IF(ISNUMBER(NºAsuntos!G12/NºAsuntos!E12),NºAsuntos!G12/NºAsuntos!E12," - ")</f>
        <v>0.86100950987564007</v>
      </c>
      <c r="AM12" s="260">
        <f>IF(ISNUMBER(((NºAsuntos!I12/NºAsuntos!G12)*11)/factor_trimestre),((NºAsuntos!I12/NºAsuntos!G12)*11)/factor_trimestre," - ")</f>
        <v>6.405267629566695</v>
      </c>
      <c r="AN12" s="244">
        <f>IF(ISNUMBER('Resol  Asuntos'!D12/NºAsuntos!G12),'Resol  Asuntos'!D12/NºAsuntos!G12," - ")</f>
        <v>0.25488530161427359</v>
      </c>
      <c r="AO12" s="245">
        <f>IF(ISNUMBER((NºAsuntos!C12+NºAsuntos!E12)/NºAsuntos!G12),(NºAsuntos!C12+NºAsuntos!E12)/NºAsuntos!G12," - ")</f>
        <v>3.1690739167374682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51</v>
      </c>
      <c r="G13" s="866">
        <f t="shared" si="3"/>
        <v>51</v>
      </c>
      <c r="H13" s="865">
        <f t="shared" si="3"/>
        <v>0</v>
      </c>
      <c r="I13" s="867">
        <f t="shared" si="3"/>
        <v>0</v>
      </c>
      <c r="J13" s="867">
        <f t="shared" si="3"/>
        <v>0</v>
      </c>
      <c r="K13" s="867">
        <f t="shared" si="3"/>
        <v>0</v>
      </c>
      <c r="L13" s="867">
        <f t="shared" si="3"/>
        <v>264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38</v>
      </c>
      <c r="X13" s="867">
        <f t="shared" si="4"/>
        <v>271</v>
      </c>
      <c r="Y13" s="868">
        <f t="shared" si="4"/>
        <v>309</v>
      </c>
      <c r="Z13" s="868">
        <f t="shared" si="4"/>
        <v>0</v>
      </c>
      <c r="AA13" s="868">
        <f t="shared" si="4"/>
        <v>51</v>
      </c>
      <c r="AB13" s="868">
        <f t="shared" si="4"/>
        <v>4351</v>
      </c>
      <c r="AC13" s="868">
        <f t="shared" si="4"/>
        <v>91</v>
      </c>
      <c r="AD13" s="868">
        <f t="shared" si="4"/>
        <v>0</v>
      </c>
      <c r="AE13" s="872">
        <f t="shared" si="4"/>
        <v>0</v>
      </c>
      <c r="AF13" s="865">
        <f t="shared" si="4"/>
        <v>0</v>
      </c>
      <c r="AG13" s="873">
        <f t="shared" si="4"/>
        <v>0</v>
      </c>
      <c r="AH13" s="870">
        <f t="shared" si="4"/>
        <v>0</v>
      </c>
      <c r="AI13" s="865">
        <f t="shared" si="4"/>
        <v>318</v>
      </c>
      <c r="AJ13" s="867">
        <f t="shared" si="4"/>
        <v>0</v>
      </c>
      <c r="AK13" s="870">
        <f>SUBTOTAL(9,AK9:AK12)</f>
        <v>0</v>
      </c>
      <c r="AL13" s="874">
        <f>IF(ISNUMBER(NºAsuntos!G13/NºAsuntos!E13),NºAsuntos!G13/NºAsuntos!E13," - ")</f>
        <v>0.86476868327402134</v>
      </c>
      <c r="AM13" s="874">
        <f>IF(ISNUMBER(((NºAsuntos!I13/NºAsuntos!G13)*11)/factor_trimestre),((NºAsuntos!I13/NºAsuntos!G13)*11)/factor_trimestre," - ")</f>
        <v>6.3308641975308646</v>
      </c>
      <c r="AN13" s="875">
        <f>IF(ISNUMBER('Resol  Asuntos'!D13/NºAsuntos!G13),'Resol  Asuntos'!D13/NºAsuntos!G13," - ")</f>
        <v>0.2617283950617284</v>
      </c>
      <c r="AO13" s="876">
        <f>IF(ISNUMBER((NºAsuntos!C13+NºAsuntos!E13)/NºAsuntos!G13),(NºAsuntos!C13+NºAsuntos!E13)/NºAsuntos!G13," - ")</f>
        <v>3.1432098765432097</v>
      </c>
      <c r="AP13" s="877" t="str">
        <f t="shared" si="2"/>
        <v xml:space="preserve"> - </v>
      </c>
      <c r="AQ13" s="877">
        <f>IF(ISNUMBER((H13-W13+K13)/(F13)),(H13-W13+K13)/(F13)," - ")</f>
        <v>-0.74509803921568629</v>
      </c>
      <c r="AR13" s="878">
        <f>IF(ISNUMBER((Datos!P13-Datos!Q13)/(Datos!R13-Datos!P13+Datos!Q13)),(Datos!P13-Datos!Q13)/(Datos!R13-Datos!P13+Datos!Q13)," - ")</f>
        <v>-1.6062413951353832E-3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1722</v>
      </c>
      <c r="G16" s="333">
        <f>IF(ISNUMBER(IF(D_I="SI",Datos!I16,Datos!I16+Datos!AC16)),IF(D_I="SI",Datos!I16,Datos!I16+Datos!AC16)," - ")</f>
        <v>1762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1231</v>
      </c>
      <c r="X16" s="226">
        <f>IF(ISNUMBER(Datos!Q16),Datos!Q16," - ")</f>
        <v>44</v>
      </c>
      <c r="Y16" s="334">
        <f t="shared" ref="Y16:Y17" si="7">SUM(W16:X16)</f>
        <v>1275</v>
      </c>
      <c r="Z16" s="335" t="str">
        <f>IF(ISNUMBER(Datos!CC16),Datos!CC16," - ")</f>
        <v xml:space="preserve"> - </v>
      </c>
      <c r="AA16" s="332">
        <f>IF(ISNUMBER(IF(D_I="SI",Datos!L16,Datos!L16+Datos!AF16)),IF(D_I="SI",Datos!L16,Datos!L16+Datos!AF16)," - ")</f>
        <v>1677</v>
      </c>
      <c r="AB16" s="334">
        <f>IF(ISNUMBER(Datos!R16),Datos!R16," - ")</f>
        <v>316</v>
      </c>
      <c r="AC16" s="334">
        <f t="shared" si="6"/>
        <v>1993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252</v>
      </c>
      <c r="AJ16" s="231" t="str">
        <f>IF(ISNUMBER(Datos!BW16),Datos!BW16," - ")</f>
        <v xml:space="preserve"> - </v>
      </c>
      <c r="AK16" s="232" t="str">
        <f>IF(ISNUMBER(Datos!BX16),Datos!BX16," - ")</f>
        <v xml:space="preserve"> - </v>
      </c>
      <c r="AL16" s="243">
        <f>IF(ISNUMBER(NºAsuntos!G16/NºAsuntos!E16),NºAsuntos!G16/NºAsuntos!E16," - ")</f>
        <v>1.0379426644182124</v>
      </c>
      <c r="AM16" s="260">
        <f>IF(ISNUMBER(((NºAsuntos!I16/NºAsuntos!G16)*11)/factor_trimestre),((NºAsuntos!I16/NºAsuntos!G16)*11)/factor_trimestre," - ")</f>
        <v>4.0869212022745742</v>
      </c>
      <c r="AN16" s="244">
        <f>IF(ISNUMBER('Resol  Asuntos'!D16/NºAsuntos!G16),'Resol  Asuntos'!D16/NºAsuntos!G16," - ")</f>
        <v>0.20471161657189277</v>
      </c>
      <c r="AO16" s="245">
        <f>IF(ISNUMBER((NºAsuntos!C16+NºAsuntos!E16)/NºAsuntos!G16),(NºAsuntos!C16+NºAsuntos!E16)/NºAsuntos!G16," - ")</f>
        <v>2.3948009748172217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299</v>
      </c>
      <c r="X17" s="226">
        <f>IF(ISNUMBER(Datos!Q17),Datos!Q17," - ")</f>
        <v>13</v>
      </c>
      <c r="Y17" s="334">
        <f t="shared" si="7"/>
        <v>312</v>
      </c>
      <c r="Z17" s="335" t="str">
        <f>IF(ISNUMBER(Datos!CC17),Datos!CC17," - ")</f>
        <v xml:space="preserve"> - </v>
      </c>
      <c r="AA17" s="332">
        <f>IF(ISNUMBER(Datos!L17),Datos!L17,"-")</f>
        <v>57</v>
      </c>
      <c r="AB17" s="334">
        <f>IF(ISNUMBER(Datos!R17),Datos!R17," - ")</f>
        <v>12</v>
      </c>
      <c r="AC17" s="334">
        <f t="shared" si="6"/>
        <v>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92</v>
      </c>
      <c r="AJ17" s="231" t="str">
        <f>IF(ISNUMBER(Datos!BW17),Datos!BW17," - ")</f>
        <v xml:space="preserve"> - </v>
      </c>
      <c r="AK17" s="232" t="str">
        <f>IF(ISNUMBER(Datos!BX17),Datos!BX17," - ")</f>
        <v xml:space="preserve"> - </v>
      </c>
      <c r="AL17" s="243">
        <f>IF(ISNUMBER(NºAsuntos!G17/NºAsuntos!E17),NºAsuntos!G17/NºAsuntos!E17," - ")</f>
        <v>1.0794223826714802</v>
      </c>
      <c r="AM17" s="260">
        <f>IF(ISNUMBER(((NºAsuntos!I17/NºAsuntos!G17)*11)/factor_trimestre),((NºAsuntos!I17/NºAsuntos!G17)*11)/factor_trimestre," - ")</f>
        <v>0.57190635451505023</v>
      </c>
      <c r="AN17" s="244">
        <f>IF(ISNUMBER('Resol  Asuntos'!D17/NºAsuntos!G17),'Resol  Asuntos'!D17/NºAsuntos!G17," - ")</f>
        <v>0.30769230769230771</v>
      </c>
      <c r="AO17" s="245">
        <f>IF(ISNUMBER((NºAsuntos!C17+NºAsuntos!E17)/NºAsuntos!G17),(NºAsuntos!C17+NºAsuntos!E17)/NºAsuntos!G17," - ")</f>
        <v>1.1906354515050168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1722</v>
      </c>
      <c r="G18" s="866">
        <f>SUBTOTAL(9,G15:G17)</f>
        <v>1841</v>
      </c>
      <c r="H18" s="865">
        <f t="shared" ref="H18:O18" si="10">SUBTOTAL(9,H14:H17)</f>
        <v>0</v>
      </c>
      <c r="I18" s="867">
        <f t="shared" si="10"/>
        <v>0</v>
      </c>
      <c r="J18" s="867">
        <f t="shared" si="10"/>
        <v>0</v>
      </c>
      <c r="K18" s="867">
        <f t="shared" si="10"/>
        <v>0</v>
      </c>
      <c r="L18" s="867">
        <f t="shared" si="10"/>
        <v>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1530</v>
      </c>
      <c r="X18" s="867">
        <f t="shared" si="11"/>
        <v>57</v>
      </c>
      <c r="Y18" s="868">
        <f t="shared" si="11"/>
        <v>1587</v>
      </c>
      <c r="Z18" s="868">
        <f t="shared" si="11"/>
        <v>0</v>
      </c>
      <c r="AA18" s="868">
        <f t="shared" si="11"/>
        <v>1734</v>
      </c>
      <c r="AB18" s="868">
        <f t="shared" si="11"/>
        <v>328</v>
      </c>
      <c r="AC18" s="868">
        <f t="shared" si="11"/>
        <v>2062</v>
      </c>
      <c r="AD18" s="868">
        <f t="shared" si="11"/>
        <v>0</v>
      </c>
      <c r="AE18" s="872">
        <f t="shared" si="11"/>
        <v>0</v>
      </c>
      <c r="AF18" s="865">
        <f t="shared" si="11"/>
        <v>0</v>
      </c>
      <c r="AG18" s="873">
        <f t="shared" si="11"/>
        <v>0</v>
      </c>
      <c r="AH18" s="870">
        <f t="shared" si="11"/>
        <v>0</v>
      </c>
      <c r="AI18" s="865">
        <f t="shared" si="11"/>
        <v>344</v>
      </c>
      <c r="AJ18" s="867">
        <f t="shared" si="11"/>
        <v>0</v>
      </c>
      <c r="AK18" s="870">
        <f t="shared" si="11"/>
        <v>0</v>
      </c>
      <c r="AL18" s="874">
        <f>IF(ISNUMBER(NºAsuntos!G18/NºAsuntos!E18),NºAsuntos!G18/NºAsuntos!E18," - ")</f>
        <v>1.0457963089542037</v>
      </c>
      <c r="AM18" s="874">
        <f>IF(ISNUMBER(((NºAsuntos!I18/NºAsuntos!G18)*11)/factor_trimestre),((NºAsuntos!I18/NºAsuntos!G18)*11)/factor_trimestre," - ")</f>
        <v>3.4000000000000004</v>
      </c>
      <c r="AN18" s="875">
        <f>IF(ISNUMBER('Resol  Asuntos'!D18/NºAsuntos!G18),'Resol  Asuntos'!D18/NºAsuntos!G18," - ")</f>
        <v>0.22483660130718955</v>
      </c>
      <c r="AO18" s="876">
        <f>IF(ISNUMBER((NºAsuntos!C18+NºAsuntos!E18)/NºAsuntos!G18),(NºAsuntos!C18+NºAsuntos!E18)/NºAsuntos!G18," - ")</f>
        <v>2.1594771241830064</v>
      </c>
      <c r="AP18" s="877" t="str">
        <f t="shared" si="2"/>
        <v xml:space="preserve"> - </v>
      </c>
      <c r="AQ18" s="877">
        <f>IF(ISNUMBER((H18-W18+K18)/(F18)),(H18-W18+K18)/(F18)," - ")</f>
        <v>-0.88850174216027877</v>
      </c>
      <c r="AR18" s="878">
        <f>IF(ISNUMBER((Datos!P18-Datos!Q18)/(Datos!R18-Datos!P18+Datos!Q18)),(Datos!P18-Datos!Q18)/(Datos!R18-Datos!P18+Datos!Q18)," - ")</f>
        <v>4.1269841269841269E-2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1773</v>
      </c>
      <c r="G19" s="821">
        <f t="shared" si="13"/>
        <v>1892</v>
      </c>
      <c r="H19" s="820">
        <f t="shared" si="13"/>
        <v>0</v>
      </c>
      <c r="I19" s="822">
        <f t="shared" si="13"/>
        <v>0</v>
      </c>
      <c r="J19" s="822">
        <f t="shared" si="13"/>
        <v>0</v>
      </c>
      <c r="K19" s="881">
        <f t="shared" si="13"/>
        <v>0</v>
      </c>
      <c r="L19" s="822">
        <f t="shared" si="13"/>
        <v>334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1568</v>
      </c>
      <c r="X19" s="821">
        <f t="shared" si="14"/>
        <v>328</v>
      </c>
      <c r="Y19" s="828">
        <f t="shared" si="14"/>
        <v>1896</v>
      </c>
      <c r="Z19" s="828">
        <f t="shared" si="14"/>
        <v>0</v>
      </c>
      <c r="AA19" s="828">
        <f t="shared" si="14"/>
        <v>1785</v>
      </c>
      <c r="AB19" s="828">
        <f t="shared" si="14"/>
        <v>4679</v>
      </c>
      <c r="AC19" s="828">
        <f t="shared" si="14"/>
        <v>2153</v>
      </c>
      <c r="AD19" s="828">
        <f t="shared" si="14"/>
        <v>0</v>
      </c>
      <c r="AE19" s="830">
        <f t="shared" si="14"/>
        <v>0</v>
      </c>
      <c r="AF19" s="831">
        <f t="shared" si="14"/>
        <v>0</v>
      </c>
      <c r="AG19" s="832">
        <f t="shared" si="14"/>
        <v>0</v>
      </c>
      <c r="AH19" s="830">
        <f t="shared" si="14"/>
        <v>0</v>
      </c>
      <c r="AI19" s="820">
        <f t="shared" si="14"/>
        <v>662</v>
      </c>
      <c r="AJ19" s="820">
        <f t="shared" si="14"/>
        <v>0</v>
      </c>
      <c r="AK19" s="830">
        <f t="shared" si="14"/>
        <v>0</v>
      </c>
      <c r="AL19" s="884">
        <f>IF(ISNUMBER(NºAsuntos!G19/NºAsuntos!E19),NºAsuntos!G19/NºAsuntos!E19," - ")</f>
        <v>0.95711297071129708</v>
      </c>
      <c r="AM19" s="885">
        <f>IF(ISNUMBER(((NºAsuntos!I19/NºAsuntos!G19)*11)/factor_trimestre),((NºAsuntos!I19/NºAsuntos!G19)*11)/factor_trimestre," - ")</f>
        <v>4.697267759562842</v>
      </c>
      <c r="AN19" s="885">
        <f>IF(ISNUMBER('Resol  Asuntos'!D19/NºAsuntos!G19),'Resol  Asuntos'!D19/NºAsuntos!G19," - ")</f>
        <v>0.24116575591985429</v>
      </c>
      <c r="AO19" s="886">
        <f>IF(ISNUMBER((NºAsuntos!C19+NºAsuntos!E19)/NºAsuntos!G19),(NºAsuntos!C19+NºAsuntos!E19)/NºAsuntos!G19," - ")</f>
        <v>2.5948998178506377</v>
      </c>
      <c r="AP19" s="887" t="str">
        <f t="shared" si="2"/>
        <v xml:space="preserve"> - </v>
      </c>
      <c r="AQ19" s="888">
        <f>IF(OR(ISNUMBER(FIND("01",Criterios!A8,1)),ISNUMBER(FIND("02",Criterios!A8,1)),ISNUMBER(FIND("03",Criterios!A8,1)),ISNUMBER(FIND("04",Criterios!A8,1))),(I19-W19+K19)/(F19-K19),(H19-W19+K19)/(F19-K19))</f>
        <v>-0.88437676254935138</v>
      </c>
      <c r="AR19" s="889">
        <f>IF(ISNUMBER((Datos!P19-Datos!Q19)/(Datos!R19-Datos!P19+Datos!Q19)),(Datos!P19-Datos!Q19)/(Datos!R19-Datos!P19+Datos!Q19)," - ")</f>
        <v>1.2839717526214422E-3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3.2574700476153438</v>
      </c>
      <c r="F21" s="252">
        <f>IF(ISNUMBER(STDEV(F8:F18)),STDEV(F8:F18),"-")</f>
        <v>964.7522998158646</v>
      </c>
      <c r="G21" s="253">
        <f>IF(ISNUMBER(STDEV(G8:G18)),STDEV(G8:G18),"-")</f>
        <v>954.15365638873902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703.85559598542659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133.85763581756052</v>
      </c>
      <c r="AJ21" s="252">
        <f t="shared" si="18"/>
        <v>0</v>
      </c>
      <c r="AK21" s="254">
        <f t="shared" si="18"/>
        <v>0</v>
      </c>
      <c r="AL21" s="249">
        <f t="shared" si="18"/>
        <v>9.5283776841349407E-2</v>
      </c>
      <c r="AM21" s="250">
        <f t="shared" si="18"/>
        <v>2.1552679021645651</v>
      </c>
      <c r="AN21" s="250">
        <f t="shared" si="18"/>
        <v>9.7549708085006737E-2</v>
      </c>
      <c r="AO21" s="251">
        <f t="shared" si="18"/>
        <v>0.7304283981749885</v>
      </c>
      <c r="AP21" s="291" t="str">
        <f t="shared" si="18"/>
        <v>-</v>
      </c>
      <c r="AQ21" s="292">
        <f t="shared" si="18"/>
        <v>0.10140173079938261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xDpMf3UVPlhJDSoP9KkBfxJFwtYoAwHtKKP3DAqqrgGUQlKlM/TMGATFM9ygxPQBw4HZbxupjvVm/jmcxUI6TA==" saltValue="dBjYBugpiF+UFsAm2mbI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SUECA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-0.16393442622950818</v>
      </c>
      <c r="E10" s="348">
        <f>IF(ISNUMBER((Datos!J10-Datos!T10)/Datos!T10),(Datos!J10-Datos!T10)/Datos!T10," - ")</f>
        <v>-0.13636363636363635</v>
      </c>
      <c r="F10" s="348">
        <f>IF(ISNUMBER((Datos!K10-Datos!U10)/Datos!U10),(Datos!K10-Datos!U10)/Datos!U10," - ")</f>
        <v>-0.19148936170212766</v>
      </c>
      <c r="G10" s="349">
        <f>IF(ISNUMBER((Datos!L10-Datos!V10)/Datos!V10),(Datos!L10-Datos!V10)/Datos!V10," - ")</f>
        <v>-0.1206896551724138</v>
      </c>
      <c r="H10" s="230">
        <f>IF(ISNUMBER((Datos!M10-Datos!W10)/Datos!W10),(Datos!M10-Datos!W10)/Datos!W10," - ")</f>
        <v>-0.21739130434782608</v>
      </c>
      <c r="I10" s="350">
        <f>IF(ISNUMBER((Tasas!C10-Datos!BE10)/Datos!BE10),(Tasas!C10-Datos!BE10)/Datos!BE10," - ")</f>
        <v>8.7568058076225003E-2</v>
      </c>
      <c r="J10" s="349">
        <f>IF(ISNUMBER((Tasas!D10-Datos!BF10)/Datos!BF10),(Tasas!D10-Datos!BF10)/Datos!BF10," - ")</f>
        <v>-3.2036613272311235E-2</v>
      </c>
      <c r="K10" s="351">
        <f>IF(ISNUMBER((Tasas!E10-Datos!BG10)/Datos!BG10),(Tasas!E10-Datos!BG10)/Datos!BG10," - ")</f>
        <v>4.8370927318295821E-2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-0.16897506925207756</v>
      </c>
      <c r="I12" s="350">
        <f>IF(ISNUMBER((Tasas!C12-Datos!BE12)/Datos!BE12),(Tasas!C12-Datos!BE12)/Datos!BE12," - ")</f>
        <v>0.45625978078958623</v>
      </c>
      <c r="J12" s="349">
        <f>IF(ISNUMBER((Tasas!D12-Datos!BF12)/Datos!BF12),(Tasas!D12-Datos!BF12)/Datos!BF12," - ")</f>
        <v>-0.25991715826176898</v>
      </c>
      <c r="K12" s="351">
        <f>IF(ISNUMBER((Tasas!E12-Datos!BG12)/Datos!BG12),(Tasas!E12-Datos!BG12)/Datos!BG12," - ")</f>
        <v>0.28706968167867553</v>
      </c>
      <c r="M12" t="e">
        <f>IF(Monitorios="SI",Datos!CE12,0)</f>
        <v>#REF!</v>
      </c>
      <c r="N12" t="e">
        <f>IF(Monitorios="SI",Datos!CF12,0)</f>
        <v>#REF!</v>
      </c>
      <c r="O12" t="e">
        <f>IF(Monitorios="SI",Datos!CG12,0)</f>
        <v>#REF!</v>
      </c>
      <c r="P12" t="e">
        <f>IF(Monitorios="SI",Datos!CH12,0)</f>
        <v>#REF!</v>
      </c>
      <c r="Q12">
        <f>IF(J_V="SI",0,Datos!AG12)</f>
        <v>134</v>
      </c>
      <c r="R12">
        <f>IF(J_V="SI",0,Datos!AH12)</f>
        <v>92</v>
      </c>
      <c r="S12">
        <f>IF(J_V="SI",0,Datos!AI12)</f>
        <v>97</v>
      </c>
      <c r="T12">
        <f>IF(J_V="SI",0,Datos!AJ12)</f>
        <v>129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-0.171875</v>
      </c>
      <c r="I13" s="357">
        <f>IF(ISNUMBER((Tasas!C13-Datos!BE13)/Datos!BE13),(Tasas!C13-Datos!BE13)/Datos!BE13," - ")</f>
        <v>0.44614112910409198</v>
      </c>
      <c r="J13" s="355">
        <f>IF(ISNUMBER((Tasas!D13-Datos!BF13)/Datos!BF13),(Tasas!D13-Datos!BF13)/Datos!BF13," - ")</f>
        <v>-0.24942744677044193</v>
      </c>
      <c r="K13" s="358">
        <f>IF(ISNUMBER((Tasas!E13-Datos!BG13)/Datos!BG13),(Tasas!E13-Datos!BG13)/Datos!BG13," - ")</f>
        <v>0.28008778867195794</v>
      </c>
      <c r="M13" t="e">
        <f>IF(Monitorios="SI",Datos!CE13,0)</f>
        <v>#REF!</v>
      </c>
      <c r="N13" t="e">
        <f>IF(Monitorios="SI",Datos!CF13,0)</f>
        <v>#REF!</v>
      </c>
      <c r="O13" t="e">
        <f>IF(Monitorios="SI",Datos!CG13,0)</f>
        <v>#REF!</v>
      </c>
      <c r="P13" t="e">
        <f>IF(Monitorios="SI",Datos!CH13,0)</f>
        <v>#REF!</v>
      </c>
      <c r="Q13">
        <f>IF(J_V="SI",0,Datos!AG13)</f>
        <v>134</v>
      </c>
      <c r="R13">
        <f>IF(J_V="SI",0,Datos!AH13)</f>
        <v>92</v>
      </c>
      <c r="S13">
        <f>IF(J_V="SI",0,Datos!AI13)</f>
        <v>97</v>
      </c>
      <c r="T13">
        <f>IF(J_V="SI",0,Datos!AJ13)</f>
        <v>129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0.15088177661659047</v>
      </c>
      <c r="E16" s="348">
        <f>IF(ISNUMBER(
   IF(D_I="SI",(Datos!J16-Datos!T16)/Datos!T16,(Datos!J16+Datos!AD16-(Datos!T16+Datos!AL16))/(Datos!T16+Datos!AL16))
     ),IF(D_I="SI",(Datos!J16-Datos!T16)/Datos!T16,(Datos!J16+Datos!AD16-(Datos!T16+Datos!AL16))/(Datos!T16+Datos!AL16))," - ")</f>
        <v>-5.6483691328560064E-2</v>
      </c>
      <c r="F16" s="348">
        <f>IF(ISNUMBER(
   IF(D_I="SI",(Datos!K16-Datos!U16)/Datos!U16,(Datos!K16+Datos!AE16-(Datos!U16+Datos!AM16))/(Datos!U16+Datos!AM16))
     ),IF(D_I="SI",(Datos!K16-Datos!U16)/Datos!U16,(Datos!K16+Datos!AE16-(Datos!U16+Datos!AM16))/(Datos!U16+Datos!AM16))," - ")</f>
        <v>3.4453781512605045E-2</v>
      </c>
      <c r="G16" s="349">
        <f>IF(ISNUMBER(
   IF(D_I="SI",(Datos!L16-Datos!V16)/Datos!V16,(Datos!L16+Datos!AF16-(Datos!V16+Datos!AN16))/(Datos!V16+Datos!AN16))
     ),IF(D_I="SI",(Datos!L16-Datos!V16)/Datos!V16,(Datos!L16+Datos!AF16-(Datos!V16+Datos!AN16))/(Datos!V16+Datos!AN16))," - ")</f>
        <v>4.6163443543356206E-2</v>
      </c>
      <c r="H16" s="230">
        <f>IF(ISNUMBER((Datos!M16-Datos!W16)/Datos!W16),(Datos!M16-Datos!W16)/Datos!W16," - ")</f>
        <v>0.27272727272727271</v>
      </c>
      <c r="I16" s="350">
        <f>IF(ISNUMBER((Tasas!C16-Datos!BE16)/Datos!BE16),(Tasas!C16-Datos!BE16)/Datos!BE16," - ")</f>
        <v>1.1319657040287414E-2</v>
      </c>
      <c r="J16" s="349">
        <f>IF(ISNUMBER((Tasas!D16-Datos!BF16)/Datos!BF16),(Tasas!D16-Datos!BF16)/Datos!BF16," - ")</f>
        <v>0.23033749353814348</v>
      </c>
      <c r="K16" s="351">
        <f>IF(ISNUMBER((Tasas!E16-Datos!BG16)/Datos!BG16),(Tasas!E16-Datos!BG16)/Datos!BG16," - ")</f>
        <v>2.217114778783846E-2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-0.10227272727272728</v>
      </c>
      <c r="E17" s="348">
        <f>IF(ISNUMBER(
   IF(D_I="SI",(Datos!J17-Datos!T17)/Datos!T17,(Datos!J17+Datos!AD17-(Datos!T17+Datos!AL17))/(Datos!T17+Datos!AL17))
     ),IF(D_I="SI",(Datos!J17-Datos!T17)/Datos!T17,(Datos!J17+Datos!AD17-(Datos!T17+Datos!AL17))/(Datos!T17+Datos!AL17))," - ")</f>
        <v>-0.26912928759894461</v>
      </c>
      <c r="F17" s="348">
        <f>IF(ISNUMBER(
   IF(D_I="SI",(Datos!K17-Datos!U17)/Datos!U17,(Datos!K17+Datos!AE17-(Datos!U17+Datos!AM17))/(Datos!U17+Datos!AM17))
     ),IF(D_I="SI",(Datos!K17-Datos!U17)/Datos!U17,(Datos!K17+Datos!AE17-(Datos!U17+Datos!AM17))/(Datos!U17+Datos!AM17))," - ")</f>
        <v>-0.24111675126903553</v>
      </c>
      <c r="G17" s="349">
        <f>IF(ISNUMBER(
   IF(D_I="SI",(Datos!L17-Datos!V17)/Datos!V17,(Datos!L17+Datos!AF17-(Datos!V17+Datos!AN17))/(Datos!V17+Datos!AN17))
     ),IF(D_I="SI",(Datos!L17-Datos!V17)/Datos!V17,(Datos!L17+Datos!AF17-(Datos!V17+Datos!AN17))/(Datos!V17+Datos!AN17))," - ")</f>
        <v>-0.21917808219178081</v>
      </c>
      <c r="H17" s="230">
        <f>IF(ISNUMBER((Datos!M17-Datos!W17)/Datos!W17),(Datos!M17-Datos!W17)/Datos!W17," - ")</f>
        <v>-7.0707070707070704E-2</v>
      </c>
      <c r="I17" s="350">
        <f>IF(ISNUMBER((Tasas!C17-Datos!BE17)/Datos!BE17),(Tasas!C17-Datos!BE17)/Datos!BE17," - ")</f>
        <v>2.8909149218857441E-2</v>
      </c>
      <c r="J17" s="349">
        <f>IF(ISNUMBER((Tasas!D17-Datos!BF17)/Datos!BF17),(Tasas!D17-Datos!BF17)/Datos!BF17," - ")</f>
        <v>0.22455322455322474</v>
      </c>
      <c r="K17" s="351">
        <f>IF(ISNUMBER((Tasas!E17-Datos!BG17)/Datos!BG17),(Tasas!E17-Datos!BG17)/Datos!BG17," - ")</f>
        <v>4.5189890641898246E-3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0.13712168004941322</v>
      </c>
      <c r="E18" s="354">
        <f>IF(ISNUMBER(
   IF(D_I="SI",(Datos!J18-Datos!T18)/Datos!T18,(Datos!J18+Datos!AD18-(Datos!T18+Datos!AL18))/(Datos!T18+Datos!AL18))
     ),IF(D_I="SI",(Datos!J18-Datos!T18)/Datos!T18,(Datos!J18+Datos!AD18-(Datos!T18+Datos!AL18))/(Datos!T18+Datos!AL18))," - ")</f>
        <v>-0.10574572127139364</v>
      </c>
      <c r="F18" s="354">
        <f>IF(ISNUMBER(
   IF(D_I="SI",(Datos!K18-Datos!U18)/Datos!U18,(Datos!K18+Datos!AE18-(Datos!U18+Datos!AM18))/(Datos!U18+Datos!AM18))
     ),IF(D_I="SI",(Datos!K18-Datos!U18)/Datos!U18,(Datos!K18+Datos!AE18-(Datos!U18+Datos!AM18))/(Datos!U18+Datos!AM18))," - ")</f>
        <v>-3.4090909090909088E-2</v>
      </c>
      <c r="G18" s="355">
        <f>IF(ISNUMBER(
   IF(D_I="SI",(Datos!L18-Datos!V18)/Datos!V18,(Datos!L18+Datos!AF18-(Datos!V18+Datos!AN18))/(Datos!V18+Datos!AN18))
     ),IF(D_I="SI",(Datos!L18-Datos!V18)/Datos!V18,(Datos!L18+Datos!AF18-(Datos!V18+Datos!AN18))/(Datos!V18+Datos!AN18))," - ")</f>
        <v>3.4606205250596656E-2</v>
      </c>
      <c r="H18" s="356">
        <f>IF(ISNUMBER((Datos!M18-Datos!W18)/Datos!W18),(Datos!M18-Datos!W18)/Datos!W18," - ")</f>
        <v>0.15824915824915825</v>
      </c>
      <c r="I18" s="357">
        <f>IF(ISNUMBER((Tasas!C18-Datos!BE18)/Datos!BE18),(Tasas!C18-Datos!BE18)/Datos!BE18," - ")</f>
        <v>7.1121718377088181E-2</v>
      </c>
      <c r="J18" s="355">
        <f>IF(ISNUMBER((Tasas!D18-Datos!BF18)/Datos!BF18),(Tasas!D18-Datos!BF18)/Datos!BF18," - ")</f>
        <v>0.19912854030501093</v>
      </c>
      <c r="K18" s="358">
        <f>IF(ISNUMBER((Tasas!E18-Datos!BG18)/Datos!BG18),(Tasas!E18-Datos!BG18)/Datos!BG18," - ")</f>
        <v>5.0879190385831802E-2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6.0039860488290984E-2</v>
      </c>
      <c r="E19" s="363">
        <f>IF(ISNUMBER(
   IF(J_V="SI",(Datos!J19-Datos!T19)/Datos!T19,(Datos!J19+Datos!Z19-(Datos!T19+Datos!AH19))/(Datos!T19+Datos!AH19))
     ),IF(J_V="SI",(Datos!J19-Datos!T19)/Datos!T19,(Datos!J19+Datos!Z19-(Datos!T19+Datos!AH19))/(Datos!T19+Datos!AH19))," - ")</f>
        <v>-8.3120204603580564E-2</v>
      </c>
      <c r="F19" s="363">
        <f>IF(ISNUMBER(
   IF(J_V="SI",(Datos!K19-Datos!U19)/Datos!U19,(Datos!K19+Datos!AA19-(Datos!U19+Datos!AI19))/(Datos!U19+Datos!AI19))
     ),IF(J_V="SI",(Datos!K19-Datos!U19)/Datos!U19,(Datos!K19+Datos!AA19-(Datos!U19+Datos!AI19))/(Datos!U19+Datos!AI19))," - ")</f>
        <v>-0.13324913167035049</v>
      </c>
      <c r="G19" s="364">
        <f>IF(ISNUMBER(
   IF(J_V="SI",(Datos!L19-Datos!V19)/Datos!V19,(Datos!L19+Datos!AB19-(Datos!V19+Datos!AJ19))/(Datos!V19+Datos!AJ19))
     ),IF(J_V="SI",(Datos!L19-Datos!V19)/Datos!V19,(Datos!L19+Datos!AB19-(Datos!V19+Datos!AJ19))/(Datos!V19+Datos!AJ19))," - ")</f>
        <v>7.8273958855995987E-2</v>
      </c>
      <c r="H19" s="365">
        <f>IF(ISNUMBER((Datos!M19-Datos!W19)/Datos!W19),(Datos!M19-Datos!W19)/Datos!W19," - ")</f>
        <v>-2.7900146842878122E-2</v>
      </c>
      <c r="I19" s="362">
        <f>IF(ISNUMBER((Tasas!C19-Datos!BE19)/Datos!BE19),(Tasas!C19-Datos!BE19)/Datos!BE19," - ")</f>
        <v>0.24404139442511463</v>
      </c>
      <c r="J19" s="363">
        <f>IF(ISNUMBER((Tasas!D19-Datos!BF19)/Datos!BF19),(Tasas!D19-Datos!BF19)/Datos!BF19," - ")</f>
        <v>-0.10038639693971899</v>
      </c>
      <c r="K19" s="364">
        <f>IF(ISNUMBER((Tasas!E19-Datos!BG19)/Datos!BG19),(Tasas!E19-Datos!BG19)/Datos!BG19," - ")</f>
        <v>0.15066476100993684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0.16205256636212251</v>
      </c>
      <c r="E21" s="278">
        <f t="shared" si="1"/>
        <v>9.0959728930134862E-2</v>
      </c>
      <c r="F21" s="278">
        <f t="shared" si="1"/>
        <v>0.12967415802773893</v>
      </c>
      <c r="G21" s="279">
        <f t="shared" si="1"/>
        <v>0.12799833679302505</v>
      </c>
      <c r="H21" s="285">
        <f t="shared" si="1"/>
        <v>0.2016149136712031</v>
      </c>
      <c r="I21" s="277">
        <f t="shared" si="1"/>
        <v>0.20916713939317266</v>
      </c>
      <c r="J21" s="278">
        <f t="shared" si="1"/>
        <v>0.23315851149921818</v>
      </c>
      <c r="K21" s="279">
        <f t="shared" si="1"/>
        <v>0.13132746486354197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Nek9xgd6k6OfeGgohYCPiF6UoW5PtZrrgd/eOOYzQB3WnkY56nAVgJH1sa44EpgAtsKjDUGHLbL6Hc8wtZkcg==" saltValue="q0Xa3x5TV6kU4imjrS0lg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51</v>
      </c>
      <c r="D10" s="225">
        <f>IF(ISNUMBER(Datos!I10),Datos!I10," - ")</f>
        <v>51</v>
      </c>
      <c r="E10" s="226">
        <f>IF(ISNUMBER(Datos!J10),Datos!J10," - ")</f>
        <v>38</v>
      </c>
      <c r="F10" s="226">
        <f>IF(ISNUMBER(Datos!K10),Datos!K10," - ")</f>
        <v>38</v>
      </c>
      <c r="G10" s="1034" t="str">
        <f>IF(Datos!E10&lt;&gt;"",Datos!E10,Datos!D10)</f>
        <v>37</v>
      </c>
      <c r="H10" s="227">
        <f>IF(ISNUMBER(Datos!L10),Datos!L10," - ")</f>
        <v>51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14.763157894736842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23.485981308411215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51</v>
      </c>
      <c r="D13" s="1049">
        <f>SUBTOTAL(9,D9:D12)</f>
        <v>51</v>
      </c>
      <c r="E13" s="1050">
        <f>SUBTOTAL(9,E9:E12)</f>
        <v>38</v>
      </c>
      <c r="F13" s="1051">
        <f>SUBTOTAL(9,F9:F12)</f>
        <v>38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1722</v>
      </c>
      <c r="D16" s="225">
        <f>IF(ISNUMBER(IF(D_I="SI",Datos!I16,Datos!I16+Datos!AC16)),IF(D_I="SI",Datos!I16,Datos!I16+Datos!AC16)," - ")</f>
        <v>1762</v>
      </c>
      <c r="E16" s="226">
        <f>IF(ISNUMBER(IF(D_I="SI",Datos!J16,Datos!J16+Datos!AD16)),IF(D_I="SI",Datos!J16,Datos!J16+Datos!AD16)," - ")</f>
        <v>1186</v>
      </c>
      <c r="F16" s="226">
        <f>IF(ISNUMBER(IF(D_I="SI",Datos!K16,Datos!K16+Datos!AE16)),IF(D_I="SI",Datos!K16,Datos!K16+Datos!AE16)," - ")</f>
        <v>1231</v>
      </c>
      <c r="G16" s="1034" t="str">
        <f>IF(Datos!E16&lt;&gt;"",Datos!E16,Datos!D16)</f>
        <v>04</v>
      </c>
      <c r="H16" s="227">
        <f>IF(ISNUMBER(IF(D_I="SI",Datos!L16,Datos!L16+Datos!AF16)),IF(D_I="SI",Datos!L16,Datos!L16+Datos!AF16)," - ")</f>
        <v>1677</v>
      </c>
      <c r="I16" s="1044" t="str">
        <f>IF(ISNUMBER(Datos!AS16/Datos!BM16),Datos!AS16/Datos!BM16," - ")</f>
        <v xml:space="preserve"> - </v>
      </c>
      <c r="J16" s="1045">
        <f>IF(ISNUMBER(Datos!BY16/Datos!CN16),Datos!BY16/Datos!CN16," - ")</f>
        <v>0</v>
      </c>
      <c r="K16" s="230">
        <f t="shared" si="3"/>
        <v>-2.6132404181184669E-2</v>
      </c>
      <c r="L16" s="1025">
        <f>IF(ISNUMBER(NºAsuntos!I16/NºAsuntos!G16),(NºAsuntos!I16/NºAsuntos!G16)*11," - ")</f>
        <v>14.985377741673437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79</v>
      </c>
      <c r="D17" s="225">
        <f>IF(ISNUMBER(IF(D_I="SI",Datos!I17,Datos!I17+Datos!AC17)),IF(D_I="SI",Datos!I17,Datos!I17+Datos!AC17)," - ")</f>
        <v>79</v>
      </c>
      <c r="E17" s="226">
        <f>IF(ISNUMBER(IF(D_I="SI",Datos!J17,Datos!J17+Datos!AD17)),IF(D_I="SI",Datos!J17,Datos!J17+Datos!AD17)," - ")</f>
        <v>277</v>
      </c>
      <c r="F17" s="226">
        <f>IF(ISNUMBER(IF(D_I="SI",Datos!K17,Datos!K17+Datos!AE17)),IF(D_I="SI",Datos!K17,Datos!K17+Datos!AE17)," - ")</f>
        <v>299</v>
      </c>
      <c r="G17" s="1034" t="str">
        <f>IF(Datos!E17&lt;&gt;"",Datos!E17,Datos!D17)</f>
        <v>37</v>
      </c>
      <c r="H17" s="227">
        <f>IF(ISNUMBER(IF(D_I="SI",Datos!L17,Datos!L17+Datos!AF17)),IF(D_I="SI",Datos!L17,Datos!L17+Datos!AF17)," - ")</f>
        <v>57</v>
      </c>
      <c r="I17" s="1044" t="str">
        <f>IF(ISNUMBER(Datos!AS17/Datos!BM17),Datos!AS17/Datos!BM17," - ")</f>
        <v xml:space="preserve"> - </v>
      </c>
      <c r="J17" s="1045" t="str">
        <f>IF(ISNUMBER((Datos!BY17+Datos!BZ17)/Datos!CN17),(Datos!BY17+Datos!BZ17)/Datos!CN17," - ")</f>
        <v xml:space="preserve"> - </v>
      </c>
      <c r="K17" s="230">
        <f t="shared" si="3"/>
        <v>-0.27848101265822783</v>
      </c>
      <c r="L17" s="1025">
        <f>IF(ISNUMBER(NºAsuntos!I17/NºAsuntos!G17),(NºAsuntos!I17/NºAsuntos!G17)*11," - ")</f>
        <v>2.0969899665551841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1801</v>
      </c>
      <c r="D18" s="1049">
        <f>SUBTOTAL(9,D15:D17)</f>
        <v>1841</v>
      </c>
      <c r="E18" s="1050">
        <f>SUBTOTAL(9,E15:E17)</f>
        <v>1463</v>
      </c>
      <c r="F18" s="1050">
        <f>SUBTOTAL(9,F15:F17)</f>
        <v>1530</v>
      </c>
      <c r="G18" s="1052" t="str">
        <f ca="1">INDIRECT(CONCATENATE("G",ROW()-1))</f>
        <v>37</v>
      </c>
      <c r="H18" s="1053">
        <f ca="1">SUMIF(G$14:G17,G18,H$14:H17)</f>
        <v>57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1852</v>
      </c>
      <c r="D19" s="1071">
        <f>SUBTOTAL(9,D9:D18)</f>
        <v>1892</v>
      </c>
      <c r="E19" s="1072">
        <f>SUBTOTAL(9,E9:E18)</f>
        <v>1501</v>
      </c>
      <c r="F19" s="1072">
        <f>SUBTOTAL(9,F9:F18)</f>
        <v>1568</v>
      </c>
      <c r="G19" s="1073"/>
      <c r="H19" s="1074">
        <f ca="1">SUMIF(B9:B18,"TOTAL",H9:H18)</f>
        <v>57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I/ZAAd0LWYqcbFpox2sDt9PzIRjtr5eB2aT+aSzcfrTX95gjIifsSbjg6XDzLFIZjCgjmC2nVPUM4pCb4MQYg==" saltValue="ir9e/TTOEJW+lTUG+JH6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8+2H2wn9UuKk8h8E5fH6xf+ea/CN9zFkJdb9OV257U4aaNQubVzxPozRL2x+gV8D/RbMhbx0MraCl3+2EmiOQ==" saltValue="QZ5tcPpPeUArKgL50neq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51</v>
      </c>
      <c r="J10" s="181">
        <v>38</v>
      </c>
      <c r="K10" s="181">
        <v>38</v>
      </c>
      <c r="L10" s="181">
        <v>51</v>
      </c>
      <c r="M10" s="181">
        <v>18</v>
      </c>
      <c r="N10" s="181">
        <v>17</v>
      </c>
      <c r="O10" s="181">
        <v>4</v>
      </c>
      <c r="P10" s="181">
        <v>2</v>
      </c>
      <c r="Q10" s="181">
        <v>1</v>
      </c>
      <c r="R10" s="181">
        <v>40</v>
      </c>
      <c r="S10" s="181">
        <v>61</v>
      </c>
      <c r="T10" s="181">
        <v>44</v>
      </c>
      <c r="U10" s="181">
        <v>47</v>
      </c>
      <c r="V10" s="181">
        <v>58</v>
      </c>
      <c r="W10" s="181">
        <v>23</v>
      </c>
      <c r="X10" s="188">
        <v>19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61</v>
      </c>
      <c r="AZ10" s="129">
        <f t="shared" si="0"/>
        <v>44</v>
      </c>
      <c r="BA10" s="129">
        <f t="shared" si="0"/>
        <v>47</v>
      </c>
      <c r="BB10" s="129">
        <f t="shared" si="0"/>
        <v>58</v>
      </c>
      <c r="BC10" s="125">
        <f t="shared" si="0"/>
        <v>23</v>
      </c>
      <c r="BD10" s="126">
        <f>IF(ISNUMBER(BA10/AZ10),BA10/AZ10," - ")</f>
        <v>1.0681818181818181</v>
      </c>
      <c r="BE10" s="127">
        <f>IF(ISNUMBER(BB10/BA10),BB10/BA10, " - ")</f>
        <v>1.2340425531914894</v>
      </c>
      <c r="BF10" s="127">
        <f>IF(ISNUMBER(BC10/BA10),BC10/BA10, " - ")</f>
        <v>0.48936170212765956</v>
      </c>
      <c r="BG10" s="196">
        <f>IF(ISNUMBER((AY10+AZ10)/BA10),(AY10+AZ10)/BA10," - ")</f>
        <v>2.2340425531914891</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2223</v>
      </c>
      <c r="J12" s="183">
        <v>1295</v>
      </c>
      <c r="K12" s="183">
        <v>1102</v>
      </c>
      <c r="L12" s="183">
        <v>2376</v>
      </c>
      <c r="M12" s="183">
        <v>300</v>
      </c>
      <c r="N12" s="183">
        <v>464</v>
      </c>
      <c r="O12" s="181">
        <v>597</v>
      </c>
      <c r="P12" s="183">
        <v>262</v>
      </c>
      <c r="Q12" s="183">
        <v>270</v>
      </c>
      <c r="R12" s="183">
        <v>4311</v>
      </c>
      <c r="S12" s="183">
        <v>2200</v>
      </c>
      <c r="T12" s="183">
        <v>1356</v>
      </c>
      <c r="U12" s="183">
        <v>1439</v>
      </c>
      <c r="V12" s="183">
        <v>2123</v>
      </c>
      <c r="W12" s="183">
        <v>361</v>
      </c>
      <c r="X12" s="189">
        <v>529</v>
      </c>
      <c r="Y12" s="191">
        <v>140</v>
      </c>
      <c r="Z12" s="181">
        <v>72</v>
      </c>
      <c r="AA12" s="181">
        <v>75</v>
      </c>
      <c r="AB12" s="181">
        <v>137</v>
      </c>
      <c r="AC12" s="183">
        <v>0</v>
      </c>
      <c r="AD12" s="183">
        <v>0</v>
      </c>
      <c r="AE12" s="183">
        <v>0</v>
      </c>
      <c r="AF12" s="189">
        <v>0</v>
      </c>
      <c r="AG12" s="202">
        <v>134</v>
      </c>
      <c r="AH12" s="183">
        <v>92</v>
      </c>
      <c r="AI12" s="183">
        <v>97</v>
      </c>
      <c r="AJ12" s="203">
        <v>129</v>
      </c>
      <c r="AK12" s="182">
        <v>0</v>
      </c>
      <c r="AL12" s="183">
        <v>0</v>
      </c>
      <c r="AM12" s="183">
        <v>0</v>
      </c>
      <c r="AN12" s="189">
        <v>0</v>
      </c>
      <c r="AO12" s="259">
        <v>6</v>
      </c>
      <c r="AP12" s="155">
        <v>6</v>
      </c>
      <c r="AQ12" s="155">
        <v>6</v>
      </c>
      <c r="AR12" s="154">
        <v>6</v>
      </c>
      <c r="AS12" s="340" t="s">
        <v>802</v>
      </c>
      <c r="AT12" s="203"/>
      <c r="AU12" s="202"/>
      <c r="AV12" s="203"/>
      <c r="AW12" s="202"/>
      <c r="AX12" s="203"/>
      <c r="AY12" s="126">
        <f t="shared" si="1"/>
        <v>2334</v>
      </c>
      <c r="AZ12" s="127">
        <f t="shared" si="1"/>
        <v>1448</v>
      </c>
      <c r="BA12" s="127">
        <f t="shared" si="1"/>
        <v>1536</v>
      </c>
      <c r="BB12" s="127">
        <f t="shared" si="1"/>
        <v>2252</v>
      </c>
      <c r="BC12" s="125">
        <f>IF(ISNUMBER(X12),X12," - ")</f>
        <v>529</v>
      </c>
      <c r="BD12" s="126">
        <f t="shared" si="2"/>
        <v>1.0607734806629834</v>
      </c>
      <c r="BE12" s="127">
        <f t="shared" si="3"/>
        <v>1.4661458333333333</v>
      </c>
      <c r="BF12" s="127">
        <f t="shared" si="4"/>
        <v>0.34440104166666669</v>
      </c>
      <c r="BG12" s="196">
        <f t="shared" si="5"/>
        <v>2.4622395833333335</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2274</v>
      </c>
      <c r="J13" s="184">
        <f t="shared" si="6"/>
        <v>1333</v>
      </c>
      <c r="K13" s="184">
        <f t="shared" si="6"/>
        <v>1140</v>
      </c>
      <c r="L13" s="184">
        <f t="shared" si="6"/>
        <v>2427</v>
      </c>
      <c r="M13" s="184">
        <f t="shared" si="6"/>
        <v>318</v>
      </c>
      <c r="N13" s="184">
        <f t="shared" si="6"/>
        <v>481</v>
      </c>
      <c r="O13" s="184">
        <f t="shared" si="6"/>
        <v>601</v>
      </c>
      <c r="P13" s="184">
        <f t="shared" si="6"/>
        <v>264</v>
      </c>
      <c r="Q13" s="184">
        <f t="shared" si="6"/>
        <v>271</v>
      </c>
      <c r="R13" s="184">
        <f t="shared" si="6"/>
        <v>4351</v>
      </c>
      <c r="S13" s="184">
        <f t="shared" si="6"/>
        <v>2261</v>
      </c>
      <c r="T13" s="184">
        <f t="shared" si="6"/>
        <v>1400</v>
      </c>
      <c r="U13" s="184">
        <f t="shared" si="6"/>
        <v>1486</v>
      </c>
      <c r="V13" s="184">
        <f t="shared" si="6"/>
        <v>2181</v>
      </c>
      <c r="W13" s="184">
        <f t="shared" si="6"/>
        <v>384</v>
      </c>
      <c r="X13" s="184">
        <f t="shared" si="6"/>
        <v>548</v>
      </c>
      <c r="Y13" s="184">
        <f t="shared" si="6"/>
        <v>140</v>
      </c>
      <c r="Z13" s="184">
        <f t="shared" si="6"/>
        <v>72</v>
      </c>
      <c r="AA13" s="184">
        <f t="shared" si="6"/>
        <v>75</v>
      </c>
      <c r="AB13" s="184">
        <f t="shared" si="6"/>
        <v>137</v>
      </c>
      <c r="AC13" s="184">
        <f t="shared" si="6"/>
        <v>0</v>
      </c>
      <c r="AD13" s="184">
        <f t="shared" si="6"/>
        <v>0</v>
      </c>
      <c r="AE13" s="184">
        <f t="shared" si="6"/>
        <v>0</v>
      </c>
      <c r="AF13" s="184">
        <f>SUBTOTAL(9,AF9:AF12)</f>
        <v>0</v>
      </c>
      <c r="AG13" s="184">
        <f t="shared" ref="AG13:AT13" si="7">SUBTOTAL(9,AG8:AG12)</f>
        <v>134</v>
      </c>
      <c r="AH13" s="184">
        <f t="shared" si="7"/>
        <v>92</v>
      </c>
      <c r="AI13" s="184">
        <f t="shared" si="7"/>
        <v>97</v>
      </c>
      <c r="AJ13" s="184">
        <f t="shared" si="7"/>
        <v>129</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2395</v>
      </c>
      <c r="AZ13" s="184">
        <f>SUBTOTAL(9,AZ8:AZ12)</f>
        <v>1492</v>
      </c>
      <c r="BA13" s="184">
        <f>SUBTOTAL(9,BA8:BA12)</f>
        <v>1583</v>
      </c>
      <c r="BB13" s="184">
        <f>SUBTOTAL(9,BB8:BB12)</f>
        <v>2310</v>
      </c>
      <c r="BC13" s="184">
        <f>SUBTOTAL(9,BC8:BC12)</f>
        <v>552</v>
      </c>
      <c r="BD13" s="205">
        <f>IF(ISNUMBER(BA13/AZ13),BA13/AZ13," - ")</f>
        <v>1.0609919571045576</v>
      </c>
      <c r="BE13" s="206">
        <f>IF(ISNUMBER(BB13/BA13),BB13/BA13, " - ")</f>
        <v>1.4592545799115604</v>
      </c>
      <c r="BF13" s="206">
        <f>IF(ISNUMBER(BC13/BA13),BC13/BA13, " - ")</f>
        <v>0.34870499052432091</v>
      </c>
      <c r="BG13" s="207">
        <f>IF(ISNUMBER((AY13+AZ13)/BA13),(AY13+AZ13)/BA13," - ")</f>
        <v>2.4554643082754266</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1762</v>
      </c>
      <c r="J16" s="183">
        <v>1186</v>
      </c>
      <c r="K16" s="183">
        <v>1231</v>
      </c>
      <c r="L16" s="183">
        <v>1677</v>
      </c>
      <c r="M16" s="183">
        <v>252</v>
      </c>
      <c r="N16" s="183">
        <v>583</v>
      </c>
      <c r="O16" s="181">
        <v>31</v>
      </c>
      <c r="P16" s="183">
        <v>60</v>
      </c>
      <c r="Q16" s="183">
        <v>44</v>
      </c>
      <c r="R16" s="183">
        <v>316</v>
      </c>
      <c r="S16" s="183">
        <v>1531</v>
      </c>
      <c r="T16" s="183">
        <v>1257</v>
      </c>
      <c r="U16" s="183">
        <v>1190</v>
      </c>
      <c r="V16" s="183">
        <v>1603</v>
      </c>
      <c r="W16" s="183">
        <v>198</v>
      </c>
      <c r="X16" s="189">
        <v>711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6</v>
      </c>
      <c r="AP16" s="155">
        <v>6</v>
      </c>
      <c r="AQ16" s="155">
        <v>6</v>
      </c>
      <c r="AR16" s="155">
        <v>6</v>
      </c>
      <c r="AS16" s="340" t="s">
        <v>487</v>
      </c>
      <c r="AT16" s="203"/>
      <c r="AU16" s="202"/>
      <c r="AV16" s="203"/>
      <c r="AW16" s="202"/>
      <c r="AX16" s="203"/>
      <c r="AY16" s="126">
        <f t="shared" si="9"/>
        <v>1531</v>
      </c>
      <c r="AZ16" s="127">
        <f t="shared" si="9"/>
        <v>1257</v>
      </c>
      <c r="BA16" s="127">
        <f t="shared" si="9"/>
        <v>1190</v>
      </c>
      <c r="BB16" s="127">
        <f t="shared" si="9"/>
        <v>1603</v>
      </c>
      <c r="BC16" s="125">
        <f>IF(ISNUMBER(W16),W16," - ")</f>
        <v>198</v>
      </c>
      <c r="BD16" s="126">
        <f t="shared" ref="BD16" si="11">IF(ISNUMBER(BA16/AZ16),BA16/AZ16," - ")</f>
        <v>0.94669848846459825</v>
      </c>
      <c r="BE16" s="127">
        <f t="shared" ref="BE16" si="12">IF(ISNUMBER(BB16/BA16),BB16/BA16, " - ")</f>
        <v>1.3470588235294119</v>
      </c>
      <c r="BF16" s="127">
        <f t="shared" ref="BF16" si="13">IF(ISNUMBER(BC16/BA16),BC16/BA16, " - ")</f>
        <v>0.16638655462184873</v>
      </c>
      <c r="BG16" s="196">
        <f t="shared" si="10"/>
        <v>2.342857142857143</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79</v>
      </c>
      <c r="J17" s="183">
        <v>277</v>
      </c>
      <c r="K17" s="183">
        <v>299</v>
      </c>
      <c r="L17" s="183">
        <v>57</v>
      </c>
      <c r="M17" s="183">
        <v>92</v>
      </c>
      <c r="N17" s="183">
        <v>160</v>
      </c>
      <c r="O17" s="183">
        <v>13</v>
      </c>
      <c r="P17" s="183">
        <v>10</v>
      </c>
      <c r="Q17" s="183">
        <v>13</v>
      </c>
      <c r="R17" s="183">
        <v>12</v>
      </c>
      <c r="S17" s="183">
        <v>88</v>
      </c>
      <c r="T17" s="183">
        <v>379</v>
      </c>
      <c r="U17" s="183">
        <v>394</v>
      </c>
      <c r="V17" s="183">
        <v>73</v>
      </c>
      <c r="W17" s="183">
        <v>99</v>
      </c>
      <c r="X17" s="189">
        <v>173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88</v>
      </c>
      <c r="AZ17" s="129">
        <f t="shared" si="14"/>
        <v>379</v>
      </c>
      <c r="BA17" s="129">
        <f t="shared" si="14"/>
        <v>394</v>
      </c>
      <c r="BB17" s="129">
        <f t="shared" si="14"/>
        <v>73</v>
      </c>
      <c r="BC17" s="125">
        <f>IF(ISNUMBER(W17),W17," - ")</f>
        <v>99</v>
      </c>
      <c r="BD17" s="126">
        <f>IF(ISNUMBER(BA17/AZ17),BA17/AZ17," - ")</f>
        <v>1.0395778364116095</v>
      </c>
      <c r="BE17" s="127">
        <f>IF(ISNUMBER(BB17/BA17),BB17/BA17, " - ")</f>
        <v>0.18527918781725888</v>
      </c>
      <c r="BF17" s="127">
        <f>IF(ISNUMBER(BC17/BA17),BC17/BA17, " - ")</f>
        <v>0.2512690355329949</v>
      </c>
      <c r="BG17" s="196">
        <f>IF(ISNUMBER((AY17+AZ17)/BA17),(AY17+AZ17)/BA17," - ")</f>
        <v>1.1852791878172588</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1841</v>
      </c>
      <c r="J18" s="184">
        <f t="shared" si="15"/>
        <v>1463</v>
      </c>
      <c r="K18" s="184">
        <f t="shared" si="15"/>
        <v>1530</v>
      </c>
      <c r="L18" s="184">
        <f t="shared" si="15"/>
        <v>1734</v>
      </c>
      <c r="M18" s="184">
        <f t="shared" si="15"/>
        <v>344</v>
      </c>
      <c r="N18" s="184">
        <f t="shared" si="15"/>
        <v>743</v>
      </c>
      <c r="O18" s="184">
        <f t="shared" si="15"/>
        <v>44</v>
      </c>
      <c r="P18" s="184">
        <f t="shared" si="15"/>
        <v>70</v>
      </c>
      <c r="Q18" s="184">
        <f t="shared" si="15"/>
        <v>57</v>
      </c>
      <c r="R18" s="184">
        <f t="shared" si="15"/>
        <v>328</v>
      </c>
      <c r="S18" s="184">
        <f t="shared" si="15"/>
        <v>1619</v>
      </c>
      <c r="T18" s="184">
        <f t="shared" si="15"/>
        <v>1636</v>
      </c>
      <c r="U18" s="184">
        <f t="shared" si="15"/>
        <v>1584</v>
      </c>
      <c r="V18" s="184">
        <f t="shared" si="15"/>
        <v>1676</v>
      </c>
      <c r="W18" s="184">
        <f t="shared" si="15"/>
        <v>297</v>
      </c>
      <c r="X18" s="184">
        <f t="shared" si="15"/>
        <v>884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1619</v>
      </c>
      <c r="AZ18" s="184">
        <f>SUBTOTAL(9,AZ14:AZ17)</f>
        <v>1636</v>
      </c>
      <c r="BA18" s="184">
        <f>SUBTOTAL(9,BA14:BA17)</f>
        <v>1584</v>
      </c>
      <c r="BB18" s="184">
        <f>SUBTOTAL(9,BB14:BB17)</f>
        <v>1676</v>
      </c>
      <c r="BC18" s="184">
        <f>SUBTOTAL(9,BC14:BC17)</f>
        <v>297</v>
      </c>
      <c r="BD18" s="205">
        <f>IF(ISNUMBER(BA18/AZ18),BA18/AZ18," - ")</f>
        <v>0.9682151589242054</v>
      </c>
      <c r="BE18" s="206">
        <f>IF(ISNUMBER(BB18/BA18),BB18/BA18, " - ")</f>
        <v>1.0580808080808082</v>
      </c>
      <c r="BF18" s="206">
        <f>IF(ISNUMBER(BC18/BA18),BC18/BA18, " - ")</f>
        <v>0.1875</v>
      </c>
      <c r="BG18" s="207">
        <f>IF(ISNUMBER((AY18+AZ18)/BA18),(AY18+AZ18)/BA18," - ")</f>
        <v>2.0549242424242422</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4115</v>
      </c>
      <c r="J19" s="134">
        <f t="shared" si="18"/>
        <v>2796</v>
      </c>
      <c r="K19" s="134">
        <f t="shared" si="18"/>
        <v>2670</v>
      </c>
      <c r="L19" s="134">
        <f t="shared" si="18"/>
        <v>4161</v>
      </c>
      <c r="M19" s="134">
        <f t="shared" si="18"/>
        <v>662</v>
      </c>
      <c r="N19" s="134">
        <f t="shared" si="18"/>
        <v>1224</v>
      </c>
      <c r="O19" s="134">
        <f t="shared" si="18"/>
        <v>645</v>
      </c>
      <c r="P19" s="134">
        <f t="shared" si="18"/>
        <v>334</v>
      </c>
      <c r="Q19" s="134">
        <f t="shared" si="18"/>
        <v>328</v>
      </c>
      <c r="R19" s="134">
        <f t="shared" si="18"/>
        <v>4679</v>
      </c>
      <c r="S19" s="134">
        <f t="shared" si="18"/>
        <v>3880</v>
      </c>
      <c r="T19" s="134">
        <f t="shared" si="18"/>
        <v>3036</v>
      </c>
      <c r="U19" s="134">
        <f t="shared" si="18"/>
        <v>3070</v>
      </c>
      <c r="V19" s="134">
        <f t="shared" si="18"/>
        <v>3857</v>
      </c>
      <c r="W19" s="134">
        <f t="shared" si="18"/>
        <v>681</v>
      </c>
      <c r="X19" s="134">
        <f t="shared" si="18"/>
        <v>1432</v>
      </c>
      <c r="Y19" s="134">
        <f t="shared" si="18"/>
        <v>140</v>
      </c>
      <c r="Z19" s="134">
        <f t="shared" si="18"/>
        <v>72</v>
      </c>
      <c r="AA19" s="134">
        <f t="shared" si="18"/>
        <v>75</v>
      </c>
      <c r="AB19" s="134">
        <f t="shared" si="18"/>
        <v>137</v>
      </c>
      <c r="AC19" s="134">
        <f t="shared" si="18"/>
        <v>0</v>
      </c>
      <c r="AD19" s="134">
        <f t="shared" si="18"/>
        <v>0</v>
      </c>
      <c r="AE19" s="134">
        <f t="shared" si="18"/>
        <v>0</v>
      </c>
      <c r="AF19" s="134">
        <f t="shared" si="18"/>
        <v>0</v>
      </c>
      <c r="AG19" s="134">
        <f t="shared" si="18"/>
        <v>134</v>
      </c>
      <c r="AH19" s="134">
        <f t="shared" si="18"/>
        <v>92</v>
      </c>
      <c r="AI19" s="134">
        <f t="shared" si="18"/>
        <v>97</v>
      </c>
      <c r="AJ19" s="134">
        <f t="shared" si="18"/>
        <v>129</v>
      </c>
      <c r="AK19" s="134">
        <f t="shared" si="18"/>
        <v>0</v>
      </c>
      <c r="AL19" s="134">
        <f t="shared" si="18"/>
        <v>0</v>
      </c>
      <c r="AM19" s="134">
        <f t="shared" si="18"/>
        <v>0</v>
      </c>
      <c r="AN19" s="210">
        <f t="shared" si="18"/>
        <v>0</v>
      </c>
      <c r="AO19" s="211">
        <v>8</v>
      </c>
      <c r="AP19" s="211">
        <v>7</v>
      </c>
      <c r="AQ19" s="211">
        <v>7</v>
      </c>
      <c r="AR19" s="211">
        <v>7</v>
      </c>
      <c r="AS19" s="153">
        <f t="shared" si="18"/>
        <v>0</v>
      </c>
      <c r="AT19" s="153">
        <f t="shared" si="18"/>
        <v>0</v>
      </c>
      <c r="AU19" s="211"/>
      <c r="AV19" s="212"/>
      <c r="AW19" s="211"/>
      <c r="AX19" s="212"/>
      <c r="AY19" s="133">
        <f>SUBTOTAL(9,AY9:AY18)</f>
        <v>4014</v>
      </c>
      <c r="AZ19" s="134">
        <f>SUBTOTAL(9,AZ9:AZ18)</f>
        <v>3128</v>
      </c>
      <c r="BA19" s="134">
        <f>SUBTOTAL(9,BA9:BA18)</f>
        <v>3167</v>
      </c>
      <c r="BB19" s="134">
        <f>SUBTOTAL(9,BB9:BB18)</f>
        <v>3986</v>
      </c>
      <c r="BC19" s="135">
        <f>SUBTOTAL(9,BC9:BC18)</f>
        <v>849</v>
      </c>
      <c r="BD19" s="213">
        <f>IF(ISNUMBER(BA19/AZ19),BA19/AZ19," - ")</f>
        <v>1.0124680306905371</v>
      </c>
      <c r="BE19" s="210">
        <f>IF(ISNUMBER(BB19/BA19),BB19/BA19, " - ")</f>
        <v>1.2586043574360593</v>
      </c>
      <c r="BF19" s="210">
        <f>IF(ISNUMBER(BC19/BA19),BC19/BA19, " - ")</f>
        <v>0.26807704452162928</v>
      </c>
      <c r="BG19" s="135">
        <f>IF(ISNUMBER((AY19+AZ19)/BA19),(AY19+AZ19)/BA19," - ")</f>
        <v>2.2551310388380172</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MaDIMiGDtVBhZCMJOPPwFbSLOm1y8OGJx7SruWW7KLaWP9bf3OmbGqslzj6VKTbTJAvQMjniRk9EtzrFsu+cQ==" saltValue="e734raaqAsqPBRSwxtI9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98g+mIYB8AbOf3F5HMgM3r6yPAVU1YaLXOYUc+RCqqgnRMVu/fJJgJ1eMN6zqZLZPI9MbPlEOcVfCEThDosvQ==" saltValue="MPUnksn3SQU7m4zRhJ0I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SUECA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51</v>
      </c>
      <c r="G10" s="333">
        <f>IF(ISNUMBER(Datos!I10),Datos!I10," - ")</f>
        <v>51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38</v>
      </c>
      <c r="AC10" s="226">
        <f>IF(ISNUMBER(Datos!Q10),Datos!Q10," - ")</f>
        <v>1</v>
      </c>
      <c r="AD10" s="334"/>
      <c r="AE10" s="484"/>
      <c r="AF10" s="332">
        <f>IF(ISNUMBER(Datos!L10),Datos!L10,"-")</f>
        <v>51</v>
      </c>
      <c r="AG10" s="334"/>
      <c r="AH10" s="334"/>
      <c r="AI10" s="334"/>
      <c r="AJ10" s="334"/>
      <c r="AK10" s="334"/>
      <c r="AL10" s="479"/>
      <c r="AM10" s="335">
        <f>IF(ISNUMBER(Datos!R10),Datos!R10," - ")</f>
        <v>40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17</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4.0263157894736841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2.564102564102564E-2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72</v>
      </c>
      <c r="O12" s="334"/>
      <c r="P12" s="334"/>
      <c r="Q12" s="226">
        <f>IF(ISNUMBER(Datos!P12),Datos!P12,0)</f>
        <v>262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137</v>
      </c>
      <c r="AI12" s="334" t="str">
        <f>IF(ISNUMBER(Datos!CD12),Datos!CD12,"-")</f>
        <v>-</v>
      </c>
      <c r="AJ12" s="334" t="str">
        <f>IF(ISNUMBER(Datos!EN12),Datos!EN12," - ")</f>
        <v xml:space="preserve"> - </v>
      </c>
      <c r="AK12" s="334"/>
      <c r="AL12" s="479"/>
      <c r="AM12" s="335">
        <f>IF(ISNUMBER(Datos!R12),Datos!R12," - ")</f>
        <v>4311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300</v>
      </c>
      <c r="BD12" s="229">
        <f>IF(ISNUMBER(Datos!N12),Datos!N12," - ")</f>
        <v>464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0.86100950987564007</v>
      </c>
      <c r="BH12" s="260">
        <f>IF(ISNUMBER(((IF(J_V="SI",Datos!L12/Datos!K12,(Datos!L12+Datos!AB12)/(Datos!K12+Datos!AA12)))*11)/factor_trimestre),((IF(J_V="SI",Datos!L12/Datos!K12,(Datos!L12+Datos!AB12)/(Datos!K12+Datos!AA12)))*11)/factor_trimestre," - ")</f>
        <v>6.405267629566695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-1.8522806205140078E-3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51</v>
      </c>
      <c r="G13" s="898">
        <f t="shared" si="0"/>
        <v>51</v>
      </c>
      <c r="H13" s="899">
        <f t="shared" si="0"/>
        <v>0</v>
      </c>
      <c r="I13" s="898">
        <f t="shared" si="0"/>
        <v>0</v>
      </c>
      <c r="J13" s="867">
        <f t="shared" si="0"/>
        <v>0</v>
      </c>
      <c r="K13" s="867">
        <f t="shared" si="0"/>
        <v>0</v>
      </c>
      <c r="L13" s="899">
        <f t="shared" si="0"/>
        <v>0</v>
      </c>
      <c r="M13" s="899">
        <f t="shared" si="0"/>
        <v>0</v>
      </c>
      <c r="N13" s="899">
        <f t="shared" si="0"/>
        <v>72</v>
      </c>
      <c r="O13" s="900">
        <f t="shared" si="0"/>
        <v>0</v>
      </c>
      <c r="P13" s="900">
        <f t="shared" si="0"/>
        <v>0</v>
      </c>
      <c r="Q13" s="899">
        <f t="shared" si="0"/>
        <v>264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38</v>
      </c>
      <c r="AC13" s="899">
        <f t="shared" si="1"/>
        <v>271</v>
      </c>
      <c r="AD13" s="899">
        <f t="shared" si="1"/>
        <v>0</v>
      </c>
      <c r="AE13" s="899">
        <f t="shared" si="1"/>
        <v>0</v>
      </c>
      <c r="AF13" s="899">
        <f t="shared" si="1"/>
        <v>51</v>
      </c>
      <c r="AG13" s="899">
        <f t="shared" si="1"/>
        <v>0</v>
      </c>
      <c r="AH13" s="899">
        <f t="shared" si="1"/>
        <v>137</v>
      </c>
      <c r="AI13" s="899">
        <f t="shared" si="1"/>
        <v>0</v>
      </c>
      <c r="AJ13" s="899">
        <f t="shared" si="1"/>
        <v>0</v>
      </c>
      <c r="AK13" s="899">
        <f t="shared" si="1"/>
        <v>0</v>
      </c>
      <c r="AL13" s="899">
        <f t="shared" si="1"/>
        <v>0</v>
      </c>
      <c r="AM13" s="899">
        <f t="shared" si="1"/>
        <v>4351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318</v>
      </c>
      <c r="BD13" s="899">
        <f t="shared" si="1"/>
        <v>481</v>
      </c>
      <c r="BE13" s="899">
        <f t="shared" si="1"/>
        <v>0</v>
      </c>
      <c r="BF13" s="899">
        <f t="shared" si="1"/>
        <v>0</v>
      </c>
      <c r="BG13" s="899">
        <f>IF(ISNUMBER(Datos!K13/Datos!J13),Datos!K13/Datos!J13," - ")</f>
        <v>0.85521380345086273</v>
      </c>
      <c r="BH13" s="903">
        <f>IF(ISNUMBER(((Datos!L13/Datos!K13)*11)/factor_trimestre),((Datos!L13/Datos!K13)*11)/factor_trimestre," - ")</f>
        <v>6.386842105263157</v>
      </c>
      <c r="BI13" s="899">
        <f>IF(ISNUMBER('Resol  Asuntos'!D13/NºAsuntos!G13),'Resol  Asuntos'!D13/NºAsuntos!G13," - ")</f>
        <v>0.2617283950617284</v>
      </c>
      <c r="BJ13" s="899" t="str">
        <f>IF(ISNUMBER(Datos!CI13/Datos!CJ13),Datos!CI13/Datos!CJ13," - ")</f>
        <v xml:space="preserve"> - </v>
      </c>
      <c r="BK13" s="899">
        <f>SUBTOTAL(9,BK8:BK12)</f>
        <v>0</v>
      </c>
      <c r="BL13" s="899">
        <f>IF(ISNUMBER((I13-AB13+L13)/(F13)),(I13-AB13+L13)/(F13)," - ")</f>
        <v>-0.74509803921568629</v>
      </c>
      <c r="BM13" s="904">
        <f>SUBTOTAL(9,BM9:BM12)</f>
        <v>2.3788745020511634E-2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1722</v>
      </c>
      <c r="G16" s="598">
        <f>IF(ISNUMBER(IF(D_I="SI",Datos!I16,Datos!I16+Datos!AC16)),IF(D_I="SI",Datos!I16,Datos!I16+Datos!AC16)," - ")</f>
        <v>1762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1231</v>
      </c>
      <c r="AC16" s="226">
        <f>IF(ISNUMBER(Datos!Q16),Datos!Q16," - ")</f>
        <v>44</v>
      </c>
      <c r="AD16" s="334"/>
      <c r="AE16" s="484"/>
      <c r="AF16" s="596">
        <f>IF(ISNUMBER(IF(D_I="SI",Datos!L16,Datos!L16+Datos!AF16)),IF(D_I="SI",Datos!L16,Datos!L16+Datos!AF16)," - ")</f>
        <v>1677</v>
      </c>
      <c r="AG16" s="334"/>
      <c r="AH16" s="334"/>
      <c r="AI16" s="334"/>
      <c r="AJ16" s="334"/>
      <c r="AK16" s="334"/>
      <c r="AL16" s="479"/>
      <c r="AM16" s="335">
        <f>IF(ISNUMBER(Datos!R16),Datos!R16," - ")</f>
        <v>316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252</v>
      </c>
      <c r="BD16" s="229">
        <f>IF(ISNUMBER(Datos!N16),Datos!N16," - ")</f>
        <v>583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1.0379426644182124</v>
      </c>
      <c r="BH16" s="260">
        <f>IF(ISNUMBER(((IF(D_I="SI",Datos!L16/Datos!K16,(Datos!L16+Datos!AF16)/(Datos!K16+Datos!AE16)))*11)/factor_trimestre),((IF(D_I="SI",Datos!L16/Datos!K16,(Datos!L16+Datos!AF16)/(Datos!K16+Datos!AE16)))*11)/factor_trimestre," - ")</f>
        <v>4.0869212022745742</v>
      </c>
      <c r="BI16" s="243">
        <f>IF(ISNUMBER('Resol  Asuntos'!D16/NºAsuntos!G16),'Resol  Asuntos'!D16/NºAsuntos!G16," - ")</f>
        <v>0.20471161657189277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299</v>
      </c>
      <c r="AC17" s="226">
        <f>IF(ISNUMBER(Datos!Q17),Datos!Q17," - ")</f>
        <v>13</v>
      </c>
      <c r="AD17" s="334"/>
      <c r="AE17" s="484"/>
      <c r="AF17" s="332">
        <f>IF(ISNUMBER(Datos!L17),Datos!L17,"-")</f>
        <v>57</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92</v>
      </c>
      <c r="BD17" s="229">
        <f>IF(ISNUMBER(Datos!N17),Datos!N17," - ")</f>
        <v>160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1.0794223826714802</v>
      </c>
      <c r="BH17" s="260">
        <f>IF(ISNUMBER(((IF(D_I="SI",Datos!L17/Datos!K17,(Datos!L17+Datos!AF17)/(Datos!K17+Datos!AE17)))*11)/factor_trimestre),((IF(D_I="SI",Datos!L17/Datos!K17,(Datos!L17+Datos!AF17)/(Datos!K17+Datos!AE17)))*11)/factor_trimestre," - ")</f>
        <v>0.57190635451505023</v>
      </c>
      <c r="BI17" s="243">
        <f>IF(ISNUMBER('Resol  Asuntos'!D17/NºAsuntos!G17),'Resol  Asuntos'!D17/NºAsuntos!G17," - ")</f>
        <v>0.30769230769230771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1722</v>
      </c>
      <c r="G18" s="898">
        <f>SUBTOTAL(9,G15:G17)</f>
        <v>1841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1530</v>
      </c>
      <c r="AC18" s="899">
        <f t="shared" si="4"/>
        <v>57</v>
      </c>
      <c r="AD18" s="899">
        <f t="shared" si="4"/>
        <v>0</v>
      </c>
      <c r="AE18" s="899">
        <f t="shared" si="4"/>
        <v>0</v>
      </c>
      <c r="AF18" s="899">
        <f t="shared" si="4"/>
        <v>1734</v>
      </c>
      <c r="AG18" s="899">
        <f t="shared" si="4"/>
        <v>0</v>
      </c>
      <c r="AH18" s="899">
        <f t="shared" si="4"/>
        <v>0</v>
      </c>
      <c r="AI18" s="899">
        <f t="shared" si="4"/>
        <v>0</v>
      </c>
      <c r="AJ18" s="899">
        <f t="shared" si="4"/>
        <v>0</v>
      </c>
      <c r="AK18" s="899">
        <f t="shared" si="4"/>
        <v>0</v>
      </c>
      <c r="AL18" s="899">
        <f t="shared" si="4"/>
        <v>0</v>
      </c>
      <c r="AM18" s="899">
        <f t="shared" si="4"/>
        <v>328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344</v>
      </c>
      <c r="BD18" s="899">
        <f t="shared" si="4"/>
        <v>743</v>
      </c>
      <c r="BE18" s="899">
        <f t="shared" si="4"/>
        <v>0</v>
      </c>
      <c r="BF18" s="899">
        <f t="shared" si="4"/>
        <v>0</v>
      </c>
      <c r="BG18" s="899">
        <f>IF(ISNUMBER(Datos!K18/Datos!J18),Datos!K18/Datos!J18," - ")</f>
        <v>1.0457963089542037</v>
      </c>
      <c r="BH18" s="903">
        <f>IF(ISNUMBER(((Datos!L18/Datos!K18)*11)/factor_trimestre),((Datos!L18/Datos!K18)*11)/factor_trimestre," - ")</f>
        <v>3.4000000000000004</v>
      </c>
      <c r="BI18" s="899">
        <f>SUBTOTAL(9,BI15:BI17)</f>
        <v>0.51240392426420045</v>
      </c>
      <c r="BJ18" s="899">
        <f>SUBTOTAL(9,BJ15:BJ17)</f>
        <v>0</v>
      </c>
      <c r="BK18" s="899">
        <f>SUBTOTAL(9,BK15:BK17)</f>
        <v>0</v>
      </c>
      <c r="BL18" s="899">
        <f>IF(ISNUMBER((I18-AB18+L18)/(F18)),(I18-AB18+L18)/(F18)," - ")</f>
        <v>-0.88850174216027877</v>
      </c>
      <c r="BM18" s="905">
        <f>IF(ISNUMBER((Datos!P18-Datos!Q18)/(Datos!R18-Datos!P18+Datos!Q18)),(Datos!P18-Datos!Q18)/(Datos!R18-Datos!P18+Datos!Q18)," - ")</f>
        <v>4.1269841269841269E-2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1773</v>
      </c>
      <c r="G19" s="820">
        <f t="shared" si="6"/>
        <v>1892</v>
      </c>
      <c r="H19" s="822">
        <f t="shared" si="6"/>
        <v>0</v>
      </c>
      <c r="I19" s="820">
        <f t="shared" si="6"/>
        <v>0</v>
      </c>
      <c r="J19" s="822">
        <f t="shared" si="6"/>
        <v>0</v>
      </c>
      <c r="K19" s="822">
        <f t="shared" si="6"/>
        <v>0</v>
      </c>
      <c r="L19" s="881">
        <f t="shared" si="6"/>
        <v>0</v>
      </c>
      <c r="M19" s="881">
        <f t="shared" si="6"/>
        <v>0</v>
      </c>
      <c r="N19" s="881">
        <f t="shared" si="6"/>
        <v>72</v>
      </c>
      <c r="O19" s="881">
        <f t="shared" si="6"/>
        <v>0</v>
      </c>
      <c r="P19" s="881">
        <f t="shared" si="6"/>
        <v>0</v>
      </c>
      <c r="Q19" s="822">
        <f t="shared" si="6"/>
        <v>334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1568</v>
      </c>
      <c r="AC19" s="821">
        <f t="shared" si="7"/>
        <v>328</v>
      </c>
      <c r="AD19" s="821">
        <f t="shared" si="7"/>
        <v>0</v>
      </c>
      <c r="AE19" s="821">
        <f t="shared" si="7"/>
        <v>0</v>
      </c>
      <c r="AF19" s="828">
        <f t="shared" si="7"/>
        <v>1785</v>
      </c>
      <c r="AG19" s="828">
        <f t="shared" si="7"/>
        <v>0</v>
      </c>
      <c r="AH19" s="828">
        <f t="shared" si="7"/>
        <v>137</v>
      </c>
      <c r="AI19" s="828">
        <f t="shared" si="7"/>
        <v>0</v>
      </c>
      <c r="AJ19" s="821">
        <f t="shared" si="7"/>
        <v>0</v>
      </c>
      <c r="AK19" s="828">
        <f t="shared" si="7"/>
        <v>0</v>
      </c>
      <c r="AL19" s="828">
        <f t="shared" si="7"/>
        <v>0</v>
      </c>
      <c r="AM19" s="828">
        <f t="shared" si="7"/>
        <v>4679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662</v>
      </c>
      <c r="BD19" s="820">
        <f t="shared" si="7"/>
        <v>1224</v>
      </c>
      <c r="BE19" s="820">
        <f t="shared" si="7"/>
        <v>0</v>
      </c>
      <c r="BF19" s="830">
        <f t="shared" si="7"/>
        <v>0</v>
      </c>
      <c r="BG19" s="915">
        <f>IF(ISNUMBER(Datos!K19/Datos!J19),Datos!K19/Datos!J19," - ")</f>
        <v>0.95493562231759654</v>
      </c>
      <c r="BH19" s="915">
        <f>IF(ISNUMBER(((Datos!L19/Datos!K19)*11)/factor_trimestre),((Datos!L19/Datos!K19)*11)/factor_trimestre," - ")</f>
        <v>4.6752808988764043</v>
      </c>
      <c r="BI19" s="813">
        <f>IF(ISNUMBER(Datos!J19/Datos!I19),Datos!J19/Datos!I19," - ")</f>
        <v>0.6794653705953827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-0.88437676254935138</v>
      </c>
      <c r="BM19" s="889">
        <f>IF(ISNUMBER((Datos!P19-Datos!Q19+R19)/(Datos!R19-Datos!P19+Datos!Q19-R19)),(Datos!P19-Datos!Q19+R19)/(Datos!R19-Datos!P19+Datos!Q19-R19)," - ")</f>
        <v>1.2839717526214422E-3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3.2574700476153438</v>
      </c>
      <c r="F21" s="551">
        <f>IF(ISNUMBER(STDEV(F8:F18)),STDEV(F8:F18),"-")</f>
        <v>964.7522998158646</v>
      </c>
      <c r="G21" s="552">
        <f>IF(ISNUMBER(STDEV(G8:G18)),STDEV(G8:G18),"-")</f>
        <v>954.15365638873902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703.85559598542659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133.85763581756052</v>
      </c>
      <c r="BD21" s="551"/>
      <c r="BE21" s="551">
        <f>IF(ISNUMBER(STDEV(BE8:BE18)),STDEV(BE8:BE18),"-")</f>
        <v>0</v>
      </c>
      <c r="BF21" s="556">
        <f>IF(ISNUMBER(STDEV(BF8:BF18)),STDEV(BF8:BF18),"-")</f>
        <v>0</v>
      </c>
      <c r="BG21" s="775">
        <f>IF(ISNUMBER(STDEV(BG8:BG18)),STDEV(BG8:BG18),"-")</f>
        <v>9.7674546624891861E-2</v>
      </c>
      <c r="BH21" s="776">
        <f>IF(ISNUMBER(STDEV(BH8:BH18)),STDEV(BH8:BH18),"-")</f>
        <v>2.1667551454796179</v>
      </c>
      <c r="BI21" s="249">
        <f>IF(ISNUMBER(STDEV(BI8:BI18)),STDEV(BI8:BI18),"-")</f>
        <v>0.13397395273918722</v>
      </c>
      <c r="BJ21" s="230" t="str">
        <f>IF(ISNUMBER(BL21/BM21),BL21/BM21," - ")</f>
        <v xml:space="preserve"> - </v>
      </c>
      <c r="BK21" s="575"/>
      <c r="BL21" s="559">
        <f>IF(ISNUMBER(STDEV(BL8:BL18)),STDEV(BL8:BL18),"-")</f>
        <v>0.10140173079938261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6/cK/SXwPuVKLhK5yZoo+rKpuUU3y+US0fsMyoo/Yb5u06gqa0lLT/7qkE99iiThkl8G1nm3WWaybXXChWK6Q==" saltValue="2emAl/vT46FGLZHpF46r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SUECA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51</v>
      </c>
      <c r="G10" s="225">
        <f>IF(ISNUMBER(Datos!I10),Datos!I10," - ")</f>
        <v>51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38</v>
      </c>
      <c r="Z10" s="619">
        <f>IF(ISNUMBER(Datos!Q10),Datos!Q10," - ")</f>
        <v>1</v>
      </c>
      <c r="AA10" s="332">
        <f>IF(ISNUMBER(Datos!L10),Datos!L10,"-")</f>
        <v>51</v>
      </c>
      <c r="AB10" s="334"/>
      <c r="AC10" s="334"/>
      <c r="AD10" s="484"/>
      <c r="AE10" s="484">
        <f>IF(ISNUMBER(Datos!R10),Datos!R10," - ")</f>
        <v>40</v>
      </c>
      <c r="AF10" s="229" t="str">
        <f>IF(ISNUMBER(Datos!BV10),Datos!BV10," - ")</f>
        <v xml:space="preserve"> - </v>
      </c>
      <c r="AG10" s="225" t="str">
        <f>IF(ISNUMBER(Datos!DV10),Datos!DV10," - ")</f>
        <v xml:space="preserve"> - </v>
      </c>
      <c r="AH10" s="298"/>
      <c r="AI10" s="227"/>
      <c r="AJ10" s="225">
        <f>IF(ISNUMBER(Datos!M10),Datos!M10," - ")</f>
        <v>18</v>
      </c>
      <c r="AK10" s="229">
        <f>IF(ISNUMBER(Datos!N10),Datos!N10," - ")</f>
        <v>17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4.0263157894736841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2.564102564102564E-2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270</v>
      </c>
      <c r="AA12" s="332" t="str">
        <f>IF(ISNUMBER(IF(J_V="SI",Datos!L12,Datos!L12+Datos!AB12)-IF(Monitorios="SI",Datos!CD12,0)),
                          IF(J_V="SI",Datos!L12,Datos!L12+Datos!AB12)-IF(Monitorios="SI",Datos!CD12,0),
                          " - ")</f>
        <v xml:space="preserve"> - </v>
      </c>
      <c r="AB12" s="334"/>
      <c r="AC12" s="334"/>
      <c r="AD12" s="484"/>
      <c r="AE12" s="484">
        <f>IF(ISNUMBER(Datos!R12),Datos!R12," - ")</f>
        <v>4311</v>
      </c>
      <c r="AF12" s="229" t="str">
        <f>IF(ISNUMBER(Datos!BV12),Datos!BV12," - ")</f>
        <v xml:space="preserve"> - </v>
      </c>
      <c r="AG12" s="225" t="str">
        <f>IF(ISNUMBER(Datos!DV12),Datos!DV12," - ")</f>
        <v xml:space="preserve"> - </v>
      </c>
      <c r="AH12" s="298"/>
      <c r="AI12" s="227"/>
      <c r="AJ12" s="225">
        <f>IF(ISNUMBER(Datos!M12),Datos!M12," - ")</f>
        <v>300</v>
      </c>
      <c r="AK12" s="229">
        <f>IF(ISNUMBER(Datos!N12),Datos!N12," - ")</f>
        <v>464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6.405267629566695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-1.8522806205140078E-3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51</v>
      </c>
      <c r="G13" s="898">
        <f>SUBTOTAL(9,G8:G12)</f>
        <v>51</v>
      </c>
      <c r="H13" s="908"/>
      <c r="I13" s="898">
        <f t="shared" ref="I13:N13" si="0">SUBTOTAL(9,I8:I12)</f>
        <v>0</v>
      </c>
      <c r="J13" s="867">
        <f t="shared" si="0"/>
        <v>0</v>
      </c>
      <c r="K13" s="908">
        <f t="shared" si="0"/>
        <v>0</v>
      </c>
      <c r="L13" s="908">
        <f t="shared" si="0"/>
        <v>0</v>
      </c>
      <c r="M13" s="908">
        <f t="shared" si="0"/>
        <v>0</v>
      </c>
      <c r="N13" s="908">
        <f t="shared" si="0"/>
        <v>264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38</v>
      </c>
      <c r="Z13" s="907">
        <f t="shared" si="2"/>
        <v>271</v>
      </c>
      <c r="AA13" s="900">
        <f t="shared" si="2"/>
        <v>51</v>
      </c>
      <c r="AB13" s="900">
        <f t="shared" si="2"/>
        <v>0</v>
      </c>
      <c r="AC13" s="900">
        <f t="shared" si="2"/>
        <v>0</v>
      </c>
      <c r="AD13" s="900">
        <f t="shared" si="2"/>
        <v>0</v>
      </c>
      <c r="AE13" s="900">
        <f t="shared" si="2"/>
        <v>4351</v>
      </c>
      <c r="AF13" s="908">
        <f t="shared" si="2"/>
        <v>0</v>
      </c>
      <c r="AG13" s="908">
        <f t="shared" si="2"/>
        <v>0</v>
      </c>
      <c r="AH13" s="908">
        <f t="shared" si="2"/>
        <v>0</v>
      </c>
      <c r="AI13" s="908">
        <f t="shared" si="2"/>
        <v>0</v>
      </c>
      <c r="AJ13" s="908">
        <f t="shared" si="2"/>
        <v>318</v>
      </c>
      <c r="AK13" s="908">
        <f t="shared" si="2"/>
        <v>481</v>
      </c>
      <c r="AL13" s="908">
        <f t="shared" si="2"/>
        <v>0</v>
      </c>
      <c r="AM13" s="908">
        <f t="shared" si="2"/>
        <v>0</v>
      </c>
      <c r="AN13" s="908">
        <f t="shared" si="2"/>
        <v>0</v>
      </c>
      <c r="AO13" s="904">
        <f>IF(ISNUMBER(((NºAsuntos!I13/NºAsuntos!G13)*11)/factor_trimestre),((NºAsuntos!I13/NºAsuntos!G13)*11)/factor_trimestre," - ")</f>
        <v>6.3308641975308646</v>
      </c>
      <c r="AP13" s="910" t="str">
        <f>IF(ISNUMBER(Datos!CI13/Datos!CJ13),Datos!CI13/Datos!CJ13," - ")</f>
        <v xml:space="preserve"> - </v>
      </c>
      <c r="AQ13" s="928">
        <f t="shared" ref="AQ13:AV13" si="3">SUBTOTAL(9,AQ9:AQ12)</f>
        <v>0</v>
      </c>
      <c r="AR13" s="928">
        <f t="shared" si="3"/>
        <v>2.3788745020511634E-2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1722</v>
      </c>
      <c r="G16" s="225">
        <f>IF(ISNUMBER(IF(D_I="SI",Datos!I16,Datos!I16+Datos!AC16)),IF(D_I="SI",Datos!I16,Datos!I16+Datos!AC16)," - ")</f>
        <v>1762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1231</v>
      </c>
      <c r="Z16" s="619">
        <f>IF(ISNUMBER(Datos!Q16),Datos!Q16," - ")</f>
        <v>44</v>
      </c>
      <c r="AA16" s="332">
        <f>IF(ISNUMBER(IF(D_I="SI",Datos!L16,Datos!L16+Datos!AF16)),IF(D_I="SI",Datos!L16,Datos!L16+Datos!AF16)," - ")</f>
        <v>1677</v>
      </c>
      <c r="AB16" s="334"/>
      <c r="AC16" s="334"/>
      <c r="AD16" s="484"/>
      <c r="AE16" s="484">
        <f>IF(ISNUMBER(Datos!R16),Datos!R16," - ")</f>
        <v>316</v>
      </c>
      <c r="AF16" s="229" t="str">
        <f>IF(ISNUMBER(Datos!BV16),Datos!BV16," - ")</f>
        <v xml:space="preserve"> - </v>
      </c>
      <c r="AG16" s="225"/>
      <c r="AH16" s="298"/>
      <c r="AI16" s="227"/>
      <c r="AJ16" s="225">
        <f>IF(ISNUMBER(Datos!M16),Datos!M16," - ")</f>
        <v>252</v>
      </c>
      <c r="AK16" s="229">
        <f>IF(ISNUMBER(Datos!N16),Datos!N16," - ")</f>
        <v>583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4.0869212022745742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299</v>
      </c>
      <c r="Z17" s="619">
        <f>IF(ISNUMBER(Datos!Q17),Datos!Q17," - ")</f>
        <v>13</v>
      </c>
      <c r="AA17" s="332">
        <f>IF(ISNUMBER(Datos!L17),Datos!L17,"-")</f>
        <v>57</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92</v>
      </c>
      <c r="AK17" s="229">
        <f>IF(ISNUMBER(Datos!N17),Datos!N17," - ")</f>
        <v>160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0.57190635451505023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1722</v>
      </c>
      <c r="G18" s="898">
        <f>SUBTOTAL(9,G15:G17)</f>
        <v>1841</v>
      </c>
      <c r="H18" s="932">
        <f>SUBTOTAL(9,H15:H17)</f>
        <v>0</v>
      </c>
      <c r="I18" s="911">
        <f>SUBTOTAL(9,I15:I17)</f>
        <v>0</v>
      </c>
      <c r="J18" s="867">
        <f>SUBTOTAL(9,J14:J17)</f>
        <v>0</v>
      </c>
      <c r="K18" s="932">
        <f t="shared" ref="K18:S18" si="4">SUBTOTAL(9,K15:K17)</f>
        <v>0</v>
      </c>
      <c r="L18" s="932">
        <f t="shared" si="4"/>
        <v>0</v>
      </c>
      <c r="M18" s="932">
        <f t="shared" si="4"/>
        <v>0</v>
      </c>
      <c r="N18" s="932">
        <f t="shared" si="4"/>
        <v>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1530</v>
      </c>
      <c r="Z18" s="932">
        <f t="shared" si="5"/>
        <v>57</v>
      </c>
      <c r="AA18" s="932">
        <f t="shared" si="5"/>
        <v>1734</v>
      </c>
      <c r="AB18" s="932">
        <f t="shared" si="5"/>
        <v>0</v>
      </c>
      <c r="AC18" s="932">
        <f t="shared" si="5"/>
        <v>0</v>
      </c>
      <c r="AD18" s="932">
        <f t="shared" si="5"/>
        <v>0</v>
      </c>
      <c r="AE18" s="932">
        <f t="shared" si="5"/>
        <v>328</v>
      </c>
      <c r="AF18" s="932">
        <f t="shared" si="5"/>
        <v>0</v>
      </c>
      <c r="AG18" s="932">
        <f t="shared" si="5"/>
        <v>0</v>
      </c>
      <c r="AH18" s="932">
        <f t="shared" si="5"/>
        <v>0</v>
      </c>
      <c r="AI18" s="932">
        <f t="shared" si="5"/>
        <v>0</v>
      </c>
      <c r="AJ18" s="932">
        <f t="shared" si="5"/>
        <v>344</v>
      </c>
      <c r="AK18" s="932">
        <f t="shared" si="5"/>
        <v>743</v>
      </c>
      <c r="AL18" s="932">
        <f t="shared" si="5"/>
        <v>0</v>
      </c>
      <c r="AM18" s="932">
        <f t="shared" si="5"/>
        <v>0</v>
      </c>
      <c r="AN18" s="932">
        <f t="shared" si="5"/>
        <v>0</v>
      </c>
      <c r="AO18" s="934">
        <f>IF(ISNUMBER(((NºAsuntos!I18/NºAsuntos!G18)*11)/factor_trimestre),((NºAsuntos!I18/NºAsuntos!G18)*11)/factor_trimestre," - ")</f>
        <v>3.4000000000000004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1773</v>
      </c>
      <c r="G19" s="820">
        <f t="shared" si="7"/>
        <v>1892</v>
      </c>
      <c r="H19" s="821">
        <f t="shared" si="7"/>
        <v>0</v>
      </c>
      <c r="I19" s="820">
        <f t="shared" si="7"/>
        <v>0</v>
      </c>
      <c r="J19" s="822">
        <f t="shared" si="7"/>
        <v>0</v>
      </c>
      <c r="K19" s="820">
        <f t="shared" si="7"/>
        <v>0</v>
      </c>
      <c r="L19" s="823">
        <f t="shared" si="7"/>
        <v>0</v>
      </c>
      <c r="M19" s="820">
        <f t="shared" si="7"/>
        <v>0</v>
      </c>
      <c r="N19" s="821">
        <f t="shared" si="7"/>
        <v>334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1568</v>
      </c>
      <c r="Z19" s="827">
        <f t="shared" si="8"/>
        <v>328</v>
      </c>
      <c r="AA19" s="828">
        <f t="shared" si="8"/>
        <v>1785</v>
      </c>
      <c r="AB19" s="828">
        <f t="shared" si="8"/>
        <v>0</v>
      </c>
      <c r="AC19" s="828">
        <f t="shared" si="8"/>
        <v>0</v>
      </c>
      <c r="AD19" s="829">
        <f t="shared" si="8"/>
        <v>0</v>
      </c>
      <c r="AE19" s="829">
        <f t="shared" si="8"/>
        <v>4679</v>
      </c>
      <c r="AF19" s="830">
        <f t="shared" si="8"/>
        <v>0</v>
      </c>
      <c r="AG19" s="831">
        <f t="shared" si="8"/>
        <v>0</v>
      </c>
      <c r="AH19" s="832">
        <f t="shared" si="8"/>
        <v>0</v>
      </c>
      <c r="AI19" s="830">
        <f t="shared" si="8"/>
        <v>0</v>
      </c>
      <c r="AJ19" s="820">
        <f t="shared" si="8"/>
        <v>662</v>
      </c>
      <c r="AK19" s="820">
        <f t="shared" si="8"/>
        <v>1224</v>
      </c>
      <c r="AL19" s="820">
        <f t="shared" si="8"/>
        <v>0</v>
      </c>
      <c r="AM19" s="833">
        <f t="shared" si="8"/>
        <v>0</v>
      </c>
      <c r="AN19" s="823">
        <f>IF(ISNUMBER(Datos!K19/Datos!J19),Datos!K19/Datos!J19," - ")</f>
        <v>0.95493562231759654</v>
      </c>
      <c r="AO19" s="823">
        <f>IF(ISNUMBER(FIND("06",Criterios!A8,1)),(IF(ISNUMBER(((Datos!R19/Datos!Q19)*11)/factor_trimestre),((Datos!R19/Datos!Q19)*11)/factor_trimestre," - ")),(IF(ISNUMBER(((Datos!L19/Datos!K19)*11)/factor_trimestre),((Datos!L19/Datos!K19)*11)/factor_trimestre," - ")))</f>
        <v>4.6752808988764043</v>
      </c>
      <c r="AP19" s="834" t="str">
        <f>IF(ISNUMBER(Datos!CI19/Datos!CJ19),Datos!CI19/Datos!CJ19," - ")</f>
        <v xml:space="preserve"> - </v>
      </c>
      <c r="AQ19" s="834">
        <f>IF(OR(ISNUMBER(FIND("01",Criterios!A8,1)),ISNUMBER(FIND("02",Criterios!A8,1)),ISNUMBER(FIND("03",Criterios!A8,1)),ISNUMBER(FIND("04",Criterios!A8,1))),(J19-Y19+K19)/(F19-K19),(I19-Y19+K19)/(F19-K19))</f>
        <v>-0.88437676254935138</v>
      </c>
      <c r="AR19" s="834">
        <f>IF(ISNUMBER((Datos!P19-Datos!Q19+O19)/(Datos!R19-Datos!P19+Datos!Q19-O19)),(Datos!P19-Datos!Q19+O19)/(Datos!R19-Datos!P19+Datos!Q19-O19)," - ")</f>
        <v>1.2839717526214422E-3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964.7522998158646</v>
      </c>
      <c r="G21" s="552">
        <f>IF(ISNUMBER(STDEV(G8:G18)),STDEV(G8:G18),"-")</f>
        <v>954.15365638873902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133.85763581756052</v>
      </c>
      <c r="AK21" s="252"/>
      <c r="AL21" s="252">
        <f>IF(ISNUMBER(STDEV(AL8:AL18)),STDEV(AL8:AL18),"-")</f>
        <v>0</v>
      </c>
      <c r="AM21" s="254">
        <f>IF(ISNUMBER(STDEV(AM8:AM18)),STDEV(AM8:AM18),"-")</f>
        <v>0</v>
      </c>
      <c r="AN21" s="539">
        <f>IF(ISNUMBER(STDEV(AN8:AN18)),STDEV(AN8:AN18),"-")</f>
        <v>0</v>
      </c>
      <c r="AO21" s="540">
        <f>IF(ISNUMBER(STDEV(AO8:AO18)),STDEV(AO8:AO18),"-")</f>
        <v>2.1552679021645651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1w/Hyc+5lSF4U1eE/fmPDPJopHolc0ii33qp2RYRUHAa587SZgc/7rhAEIBjm41ADXlhtxlKagkczGh8W4+pbg==" saltValue="ikFIl+YhNs8tcyLDMcI2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Opc8seIPZRZ9w1ryc45q5PSx6Bh4DA7+HmmmpYCc/5cUzi86LqGU3yJJV+Mn2F28iXQC4uQ7AbmrIM1brlLVQ==" saltValue="z+zB5LuJOF6krT/PQPc4Z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hQOmH4qh1FjGbVKgAlh3+j/s1lnoScN3y8TA4/LiIsEhgk/9RaC38Pm1jRf6e94yzGg/czjCVXy8LgSsnJUyg==" saltValue="Gh+3dngGMO0RQAeN7ntUS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SUECA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0.2617283950617284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0.18506992297721986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q0MODiTFQyLpRvCeqs8ACzZy/XV5XW/tswdrmxCuAEzP1pQtnc5jvjQkC3uHRZHKNnaniVsSLjJ3qsA2czcynw==" saltValue="7/EOwHFD/TqKsl28mU5m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3y8ZfQruWkQCXwWL1LEFVfTi2ND65a5ceI83GJNRxLoGug+dq665hxWAQ67HWKd28EhfYQQq519eIrnulEstA==" saltValue="pRTYbmVVe73hS2RjkDmQ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SUECA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51</v>
      </c>
      <c r="G10" s="684">
        <f>IF(ISNUMBER(Datos!I10),Datos!I10," - ")</f>
        <v>51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38</v>
      </c>
      <c r="AC10" s="683" t="str">
        <f>IF(ISNUMBER(IF(D_I="SI",DatosP!K17,DatosP!K17+DatosP!AE17)),IF(D_I="SI",DatosP!K17,DatosP!K17+DatosP!AE17)," - ")</f>
        <v xml:space="preserve"> - </v>
      </c>
      <c r="AD10" s="685"/>
      <c r="AE10" s="685"/>
      <c r="AF10" s="688">
        <f>IF(ISNUMBER(Datos!L10),Datos!L10,"-")</f>
        <v>51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17</v>
      </c>
      <c r="AN10" s="690">
        <f>IF(ISNUMBER(Datos!BW10+DatosP!BW17),Datos!BW10+DatosP!BW17," - ")</f>
        <v>0</v>
      </c>
      <c r="AO10" s="691">
        <f>IF(ISNUMBER(Datos!BX10+DatosP!BX17),Datos!BX10+DatosP!BX17," - ")</f>
        <v>0</v>
      </c>
      <c r="AP10" s="693">
        <f>IF(ISNUMBER(((Datos!L10/Datos!K10)*11)/factor_trimestre),((Datos!L10/Datos!K10)*11)/factor_trimestre," - ")</f>
        <v>4.0263157894736841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4311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300</v>
      </c>
      <c r="AM12" s="690">
        <f>IF(ISNUMBER(Datos!N12+DatosP!N16),Datos!N12+DatosP!N16," - ")</f>
        <v>464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6.405267629566695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-1.8522806205140078E-3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51</v>
      </c>
      <c r="G13" s="938">
        <f t="shared" si="0"/>
        <v>51</v>
      </c>
      <c r="H13" s="938">
        <f t="shared" si="0"/>
        <v>0</v>
      </c>
      <c r="I13" s="940">
        <f t="shared" si="0"/>
        <v>0</v>
      </c>
      <c r="J13" s="939">
        <f t="shared" si="0"/>
        <v>0</v>
      </c>
      <c r="K13" s="939">
        <f t="shared" si="0"/>
        <v>0</v>
      </c>
      <c r="L13" s="941">
        <f t="shared" si="0"/>
        <v>0</v>
      </c>
      <c r="M13" s="941">
        <f t="shared" si="0"/>
        <v>0</v>
      </c>
      <c r="N13" s="939">
        <f t="shared" si="0"/>
        <v>264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38</v>
      </c>
      <c r="AC13" s="939">
        <f t="shared" si="1"/>
        <v>0</v>
      </c>
      <c r="AD13" s="939">
        <f t="shared" si="1"/>
        <v>270</v>
      </c>
      <c r="AE13" s="939">
        <f t="shared" si="1"/>
        <v>0</v>
      </c>
      <c r="AF13" s="939">
        <f t="shared" si="1"/>
        <v>51</v>
      </c>
      <c r="AG13" s="939">
        <f t="shared" si="1"/>
        <v>0</v>
      </c>
      <c r="AH13" s="939">
        <f t="shared" si="1"/>
        <v>4311</v>
      </c>
      <c r="AI13" s="939">
        <f t="shared" si="1"/>
        <v>0</v>
      </c>
      <c r="AJ13" s="939">
        <f t="shared" si="1"/>
        <v>0</v>
      </c>
      <c r="AK13" s="939">
        <f t="shared" si="1"/>
        <v>0</v>
      </c>
      <c r="AL13" s="939">
        <f t="shared" si="1"/>
        <v>318</v>
      </c>
      <c r="AM13" s="939">
        <f t="shared" si="1"/>
        <v>481</v>
      </c>
      <c r="AN13" s="939">
        <f t="shared" si="1"/>
        <v>0</v>
      </c>
      <c r="AO13" s="939">
        <f t="shared" si="1"/>
        <v>0</v>
      </c>
      <c r="AP13" s="944">
        <f>IF(ISNUMBER(((Datos!L13/Datos!K13)*11)/factor_trimestre),((Datos!L13/Datos!K13)*11)/factor_trimestre," - ")</f>
        <v>6.386842105263157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-0.74509803921568629</v>
      </c>
      <c r="AU13" s="939" t="str">
        <f>IF(ISNUMBER((DatosP!#REF!-DatosP!#REF!+DatosP!#REF!)/(DatosP!#REF!+DatosP!#REF!-DatosP!#REF!-DatosP!#REF!)),(DatosP!#REF!-DatosP!#REF!+DatosP!#REF!)/(DatosP!#REF!+DatosP!#REF!-DatosP!#REF!-DatosP!#REF!)," - ")</f>
        <v xml:space="preserve"> - </v>
      </c>
      <c r="AV13" s="945">
        <f>SUBTOTAL(9,AV9:AV12)</f>
        <v>-1.8522806205140078E-3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3.4000000000000004</v>
      </c>
      <c r="AQ18" s="944">
        <f>IF(ISNUMBER(((Datos!M18/Datos!L18)*11)/factor_trimestre),((Datos!M18/Datos!L18)*11)/factor_trimestre," - ")</f>
        <v>0.59515570934256057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4.1269841269841269E-2</v>
      </c>
      <c r="AW18" s="946">
        <f>IF(ISNUMBER((Datos!Q18-Datos!R18)/(Datos!S18-Datos!Q18+Datos!R18)),(Datos!Q18-Datos!R18)/(Datos!S18-Datos!Q18+Datos!R18)," - ")</f>
        <v>-0.14338624338624339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51</v>
      </c>
      <c r="G19" s="951">
        <f t="shared" si="4"/>
        <v>51</v>
      </c>
      <c r="H19" s="951">
        <f t="shared" si="4"/>
        <v>0</v>
      </c>
      <c r="I19" s="952">
        <f t="shared" si="4"/>
        <v>0</v>
      </c>
      <c r="J19" s="953">
        <f t="shared" si="4"/>
        <v>0</v>
      </c>
      <c r="K19" s="953">
        <f t="shared" si="4"/>
        <v>0</v>
      </c>
      <c r="L19" s="953">
        <f t="shared" si="4"/>
        <v>0</v>
      </c>
      <c r="M19" s="953">
        <f t="shared" si="4"/>
        <v>0</v>
      </c>
      <c r="N19" s="952">
        <f t="shared" si="4"/>
        <v>264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38</v>
      </c>
      <c r="AC19" s="957">
        <f t="shared" si="5"/>
        <v>0</v>
      </c>
      <c r="AD19" s="957">
        <f t="shared" si="5"/>
        <v>270</v>
      </c>
      <c r="AE19" s="957">
        <f t="shared" si="5"/>
        <v>0</v>
      </c>
      <c r="AF19" s="958">
        <f t="shared" si="5"/>
        <v>51</v>
      </c>
      <c r="AG19" s="958">
        <f t="shared" si="5"/>
        <v>0</v>
      </c>
      <c r="AH19" s="958">
        <f t="shared" si="5"/>
        <v>4311</v>
      </c>
      <c r="AI19" s="958">
        <f t="shared" si="5"/>
        <v>0</v>
      </c>
      <c r="AJ19" s="959">
        <f t="shared" si="5"/>
        <v>0</v>
      </c>
      <c r="AK19" s="959">
        <f t="shared" si="5"/>
        <v>0</v>
      </c>
      <c r="AL19" s="951">
        <f t="shared" si="5"/>
        <v>318</v>
      </c>
      <c r="AM19" s="951">
        <f t="shared" si="5"/>
        <v>481</v>
      </c>
      <c r="AN19" s="951">
        <f t="shared" si="5"/>
        <v>0</v>
      </c>
      <c r="AO19" s="951">
        <f t="shared" si="5"/>
        <v>0</v>
      </c>
      <c r="AP19" s="951">
        <f>IF(ISNUMBER(((Datos!L19/Datos!K19)*11)/factor_trimestre),((Datos!L19/Datos!K19)*11)/factor_trimestre," - ")</f>
        <v>4.6752808988764043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-0.74509803921568629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1.2839717526214422E-3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29.444863728670914</v>
      </c>
      <c r="G21" s="737">
        <f>IF(ISNUMBER(STDEV(G8:G18)),STDEV(G8:G18),"-")</f>
        <v>29.444863728670914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21.93931022920578</v>
      </c>
      <c r="AC21" s="738">
        <f>IF(ISNUMBER(STDEV(AC8:AC18)),STDEV(AC8:AC18),"-")</f>
        <v>0</v>
      </c>
      <c r="AD21" s="741"/>
      <c r="AE21" s="741"/>
      <c r="AF21" s="741"/>
      <c r="AG21" s="741"/>
      <c r="AH21" s="741"/>
      <c r="AI21" s="741"/>
      <c r="AJ21" s="742">
        <f>IF(ISNUMBER(STDEV(AJ8:AJ18)),STDEV(AJ8:AJ18),"-")</f>
        <v>0</v>
      </c>
      <c r="AK21" s="744"/>
      <c r="AL21" s="736">
        <f>IF(ISNUMBER(STDEV(AL8:AL18)),STDEV(AL8:AL18),"-")</f>
        <v>173.51656981395178</v>
      </c>
      <c r="AM21" s="736"/>
      <c r="AN21" s="736">
        <f>IF(ISNUMBER(STDEV(AN8:AN18)),STDEV(AN8:AN18),"-")</f>
        <v>0</v>
      </c>
      <c r="AO21" s="742">
        <f>IF(ISNUMBER(STDEV(AO8:AO18)),STDEV(AO8:AO18),"-")</f>
        <v>0</v>
      </c>
      <c r="AP21" s="779">
        <f>IF(ISNUMBER(STDEV(AP8:AP18)),STDEV(AP8:AP18),"-")</f>
        <v>1.5699513421387943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B6wJw9nEsX8VEaMDTmcN0fKI9EhzimxN7qc52dtRDVGt2jaVyyyAv8s29qN1CK8tWBBa1+hwo4aWkfvp6sSrJA==" saltValue="BG1JJMjCOphMEMRnwg/qv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